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grae\Downloads\"/>
    </mc:Choice>
  </mc:AlternateContent>
  <xr:revisionPtr revIDLastSave="0" documentId="13_ncr:1_{A04639B0-88B7-47CC-A96B-75E83A8C6201}" xr6:coauthVersionLast="46" xr6:coauthVersionMax="46" xr10:uidLastSave="{00000000-0000-0000-0000-000000000000}"/>
  <bookViews>
    <workbookView xWindow="-27495" yWindow="0" windowWidth="25635" windowHeight="15420" tabRatio="243" xr2:uid="{00000000-000D-0000-FFFF-FFFF00000000}"/>
  </bookViews>
  <sheets>
    <sheet name="Shapes" sheetId="1" r:id="rId1"/>
  </sheets>
  <definedNames>
    <definedName name="A">Shapes!$112:$112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47" i="1" l="1"/>
  <c r="O447" i="1"/>
  <c r="N447" i="1"/>
  <c r="M447" i="1"/>
  <c r="E2" i="1"/>
  <c r="E3" i="1"/>
  <c r="F3" i="1"/>
  <c r="F6" i="1"/>
  <c r="M456" i="1"/>
  <c r="N456" i="1"/>
  <c r="P456" i="1"/>
  <c r="O456" i="1"/>
  <c r="P455" i="1"/>
  <c r="O455" i="1"/>
  <c r="M455" i="1"/>
  <c r="N455" i="1"/>
  <c r="M454" i="1"/>
  <c r="N454" i="1"/>
  <c r="O454" i="1"/>
  <c r="P454" i="1"/>
  <c r="M453" i="1"/>
  <c r="N453" i="1"/>
  <c r="O453" i="1"/>
  <c r="P453" i="1"/>
  <c r="M452" i="1"/>
  <c r="N452" i="1"/>
  <c r="O452" i="1"/>
  <c r="P452" i="1"/>
  <c r="M451" i="1"/>
  <c r="N451" i="1"/>
  <c r="O451" i="1"/>
  <c r="P451" i="1"/>
  <c r="M446" i="1"/>
  <c r="N446" i="1"/>
  <c r="O446" i="1"/>
  <c r="P446" i="1"/>
  <c r="M442" i="1"/>
  <c r="N442" i="1"/>
  <c r="O442" i="1"/>
  <c r="P442" i="1"/>
  <c r="M450" i="1"/>
  <c r="N450" i="1"/>
  <c r="P450" i="1"/>
  <c r="O450" i="1"/>
  <c r="M449" i="1"/>
  <c r="N449" i="1"/>
  <c r="P449" i="1"/>
  <c r="O449" i="1"/>
  <c r="M448" i="1"/>
  <c r="N448" i="1"/>
  <c r="O448" i="1"/>
  <c r="P448" i="1"/>
  <c r="P445" i="1"/>
  <c r="O445" i="1"/>
  <c r="M445" i="1"/>
  <c r="N445" i="1"/>
  <c r="M444" i="1"/>
  <c r="N444" i="1"/>
  <c r="O444" i="1"/>
  <c r="P444" i="1"/>
  <c r="M443" i="1"/>
  <c r="N443" i="1"/>
  <c r="O443" i="1"/>
  <c r="P443" i="1"/>
  <c r="M441" i="1"/>
  <c r="N441" i="1"/>
  <c r="O441" i="1"/>
  <c r="P441" i="1"/>
  <c r="M440" i="1"/>
  <c r="N440" i="1"/>
  <c r="O440" i="1"/>
  <c r="P440" i="1"/>
  <c r="M439" i="1"/>
  <c r="N439" i="1"/>
  <c r="P439" i="1"/>
  <c r="O439" i="1"/>
  <c r="M438" i="1"/>
  <c r="N438" i="1"/>
  <c r="O438" i="1"/>
  <c r="P438" i="1"/>
  <c r="M437" i="1"/>
  <c r="N437" i="1"/>
  <c r="O437" i="1"/>
  <c r="P437" i="1"/>
  <c r="M436" i="1"/>
  <c r="N436" i="1"/>
  <c r="O436" i="1"/>
  <c r="P436" i="1"/>
  <c r="M435" i="1"/>
  <c r="N435" i="1"/>
  <c r="O435" i="1"/>
  <c r="P435" i="1"/>
  <c r="M434" i="1"/>
  <c r="N434" i="1"/>
  <c r="O434" i="1"/>
  <c r="P434" i="1"/>
  <c r="M433" i="1"/>
  <c r="N433" i="1"/>
  <c r="O433" i="1"/>
  <c r="P433" i="1"/>
  <c r="M432" i="1"/>
  <c r="N432" i="1"/>
  <c r="O432" i="1"/>
  <c r="P432" i="1"/>
  <c r="M431" i="1"/>
  <c r="N431" i="1"/>
  <c r="O431" i="1"/>
  <c r="P431" i="1"/>
  <c r="P306" i="1"/>
  <c r="P429" i="1"/>
  <c r="N430" i="1"/>
  <c r="P262" i="1"/>
  <c r="P313" i="1"/>
  <c r="P331" i="1"/>
  <c r="P332" i="1"/>
  <c r="P333" i="1"/>
  <c r="O331" i="1"/>
  <c r="O332" i="1"/>
  <c r="P378" i="1"/>
  <c r="P428" i="1"/>
  <c r="O428" i="1"/>
  <c r="M430" i="1"/>
  <c r="O430" i="1"/>
  <c r="P430" i="1"/>
  <c r="M429" i="1"/>
  <c r="N429" i="1"/>
  <c r="O429" i="1"/>
  <c r="M428" i="1"/>
  <c r="N428" i="1"/>
  <c r="M427" i="1"/>
  <c r="N427" i="1"/>
  <c r="O427" i="1"/>
  <c r="P427" i="1"/>
  <c r="M426" i="1"/>
  <c r="N426" i="1"/>
  <c r="O426" i="1"/>
  <c r="P426" i="1"/>
  <c r="M425" i="1"/>
  <c r="N425" i="1"/>
  <c r="O425" i="1"/>
  <c r="P425" i="1"/>
  <c r="O424" i="1"/>
  <c r="P424" i="1"/>
  <c r="M424" i="1"/>
  <c r="N424" i="1"/>
  <c r="M420" i="1"/>
  <c r="N420" i="1"/>
  <c r="O420" i="1"/>
  <c r="P420" i="1"/>
  <c r="M423" i="1"/>
  <c r="N423" i="1"/>
  <c r="O423" i="1"/>
  <c r="P423" i="1"/>
  <c r="P422" i="1"/>
  <c r="O422" i="1"/>
  <c r="M422" i="1"/>
  <c r="N422" i="1"/>
  <c r="M421" i="1"/>
  <c r="N421" i="1"/>
  <c r="O421" i="1"/>
  <c r="P421" i="1"/>
  <c r="M418" i="1"/>
  <c r="N418" i="1"/>
  <c r="O418" i="1"/>
  <c r="P418" i="1"/>
  <c r="N419" i="1"/>
  <c r="M419" i="1"/>
  <c r="O419" i="1"/>
  <c r="P419" i="1"/>
  <c r="M417" i="1"/>
  <c r="N417" i="1"/>
  <c r="O417" i="1"/>
  <c r="P417" i="1"/>
  <c r="M416" i="1"/>
  <c r="N416" i="1"/>
  <c r="O416" i="1"/>
  <c r="P416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346" i="1"/>
  <c r="M253" i="1"/>
  <c r="M415" i="1"/>
  <c r="N415" i="1"/>
  <c r="O415" i="1"/>
  <c r="P415" i="1"/>
  <c r="O56" i="1"/>
  <c r="P56" i="1"/>
  <c r="P295" i="1"/>
  <c r="P388" i="1"/>
  <c r="P384" i="1"/>
  <c r="O390" i="1"/>
  <c r="O389" i="1"/>
  <c r="M414" i="1"/>
  <c r="N414" i="1"/>
  <c r="P414" i="1"/>
  <c r="O414" i="1"/>
  <c r="M265" i="1"/>
  <c r="N265" i="1"/>
  <c r="O265" i="1"/>
  <c r="P265" i="1"/>
  <c r="M413" i="1"/>
  <c r="N413" i="1"/>
  <c r="O413" i="1"/>
  <c r="P413" i="1"/>
  <c r="M336" i="1"/>
  <c r="N336" i="1"/>
  <c r="O336" i="1"/>
  <c r="P336" i="1"/>
  <c r="M412" i="1"/>
  <c r="N412" i="1"/>
  <c r="O412" i="1"/>
  <c r="P412" i="1"/>
  <c r="P410" i="1"/>
  <c r="P411" i="1"/>
  <c r="O410" i="1"/>
  <c r="O411" i="1"/>
  <c r="N410" i="1"/>
  <c r="N411" i="1"/>
  <c r="M410" i="1"/>
  <c r="M411" i="1"/>
  <c r="M409" i="1"/>
  <c r="N409" i="1"/>
  <c r="O409" i="1"/>
  <c r="P409" i="1"/>
  <c r="M294" i="1"/>
  <c r="N294" i="1"/>
  <c r="O294" i="1"/>
  <c r="P294" i="1"/>
  <c r="P408" i="1"/>
  <c r="O408" i="1"/>
  <c r="M408" i="1"/>
  <c r="N408" i="1"/>
  <c r="P407" i="1"/>
  <c r="O407" i="1"/>
  <c r="M407" i="1"/>
  <c r="N407" i="1"/>
  <c r="M406" i="1"/>
  <c r="N406" i="1"/>
  <c r="O406" i="1"/>
  <c r="P406" i="1"/>
  <c r="M405" i="1"/>
  <c r="N405" i="1"/>
  <c r="O405" i="1"/>
  <c r="P405" i="1"/>
  <c r="P400" i="1"/>
  <c r="P401" i="1"/>
  <c r="P402" i="1"/>
  <c r="P403" i="1"/>
  <c r="P404" i="1"/>
  <c r="O400" i="1"/>
  <c r="O401" i="1"/>
  <c r="O402" i="1"/>
  <c r="O403" i="1"/>
  <c r="O404" i="1"/>
  <c r="N400" i="1"/>
  <c r="N401" i="1"/>
  <c r="N402" i="1"/>
  <c r="N403" i="1"/>
  <c r="N404" i="1"/>
  <c r="M400" i="1"/>
  <c r="M401" i="1"/>
  <c r="M402" i="1"/>
  <c r="M403" i="1"/>
  <c r="M404" i="1"/>
  <c r="M399" i="1"/>
  <c r="N399" i="1"/>
  <c r="O399" i="1"/>
  <c r="P399" i="1"/>
  <c r="M398" i="1"/>
  <c r="N398" i="1"/>
  <c r="O398" i="1"/>
  <c r="P398" i="1"/>
  <c r="P324" i="1"/>
  <c r="O324" i="1"/>
  <c r="N324" i="1"/>
  <c r="M324" i="1"/>
  <c r="M397" i="1"/>
  <c r="N397" i="1"/>
  <c r="O397" i="1"/>
  <c r="P397" i="1"/>
  <c r="M396" i="1"/>
  <c r="N396" i="1"/>
  <c r="O396" i="1"/>
  <c r="P396" i="1"/>
  <c r="M395" i="1"/>
  <c r="N395" i="1"/>
  <c r="O395" i="1"/>
  <c r="P395" i="1"/>
  <c r="M394" i="1"/>
  <c r="N394" i="1"/>
  <c r="O394" i="1"/>
  <c r="P394" i="1"/>
  <c r="M393" i="1"/>
  <c r="N393" i="1"/>
  <c r="O393" i="1"/>
  <c r="P393" i="1"/>
  <c r="M392" i="1"/>
  <c r="N392" i="1"/>
  <c r="O392" i="1"/>
  <c r="P392" i="1"/>
  <c r="P391" i="1"/>
  <c r="M391" i="1"/>
  <c r="N391" i="1"/>
  <c r="O391" i="1"/>
  <c r="M390" i="1"/>
  <c r="N390" i="1"/>
  <c r="P390" i="1"/>
  <c r="M389" i="1"/>
  <c r="N389" i="1"/>
  <c r="P389" i="1"/>
  <c r="M388" i="1"/>
  <c r="N388" i="1"/>
  <c r="O388" i="1"/>
  <c r="M387" i="1"/>
  <c r="N387" i="1"/>
  <c r="O387" i="1"/>
  <c r="P387" i="1"/>
  <c r="M386" i="1"/>
  <c r="N386" i="1"/>
  <c r="O386" i="1"/>
  <c r="P386" i="1"/>
  <c r="M385" i="1"/>
  <c r="N385" i="1"/>
  <c r="O385" i="1"/>
  <c r="P385" i="1"/>
  <c r="M384" i="1"/>
  <c r="N384" i="1"/>
  <c r="O384" i="1"/>
  <c r="M383" i="1"/>
  <c r="N383" i="1"/>
  <c r="O383" i="1"/>
  <c r="P383" i="1"/>
  <c r="M382" i="1"/>
  <c r="N382" i="1"/>
  <c r="O382" i="1"/>
  <c r="P382" i="1"/>
  <c r="M381" i="1"/>
  <c r="N381" i="1"/>
  <c r="O381" i="1"/>
  <c r="P381" i="1"/>
  <c r="M380" i="1"/>
  <c r="N380" i="1"/>
  <c r="O380" i="1"/>
  <c r="P380" i="1"/>
  <c r="M379" i="1"/>
  <c r="N379" i="1"/>
  <c r="O379" i="1"/>
  <c r="P379" i="1"/>
  <c r="M378" i="1"/>
  <c r="N378" i="1"/>
  <c r="O378" i="1"/>
  <c r="M377" i="1"/>
  <c r="N377" i="1"/>
  <c r="O377" i="1"/>
  <c r="P377" i="1"/>
  <c r="M376" i="1"/>
  <c r="N376" i="1"/>
  <c r="O376" i="1"/>
  <c r="P376" i="1"/>
  <c r="M375" i="1"/>
  <c r="N375" i="1"/>
  <c r="O375" i="1"/>
  <c r="P375" i="1"/>
  <c r="M374" i="1"/>
  <c r="N374" i="1"/>
  <c r="O374" i="1"/>
  <c r="P374" i="1"/>
  <c r="M373" i="1"/>
  <c r="N373" i="1"/>
  <c r="O373" i="1"/>
  <c r="P373" i="1"/>
  <c r="M372" i="1"/>
  <c r="N372" i="1"/>
  <c r="O372" i="1"/>
  <c r="P372" i="1"/>
  <c r="M371" i="1"/>
  <c r="N371" i="1"/>
  <c r="O371" i="1"/>
  <c r="P371" i="1"/>
  <c r="M370" i="1"/>
  <c r="N370" i="1"/>
  <c r="O370" i="1"/>
  <c r="P370" i="1"/>
  <c r="M369" i="1"/>
  <c r="N369" i="1"/>
  <c r="O369" i="1"/>
  <c r="P369" i="1"/>
  <c r="M368" i="1"/>
  <c r="N368" i="1"/>
  <c r="P368" i="1"/>
  <c r="O368" i="1"/>
  <c r="M367" i="1"/>
  <c r="N367" i="1"/>
  <c r="O367" i="1"/>
  <c r="P367" i="1"/>
  <c r="M366" i="1"/>
  <c r="N366" i="1"/>
  <c r="O366" i="1"/>
  <c r="P366" i="1"/>
  <c r="M365" i="1"/>
  <c r="N365" i="1"/>
  <c r="O365" i="1"/>
  <c r="P365" i="1"/>
  <c r="M364" i="1"/>
  <c r="N364" i="1"/>
  <c r="O364" i="1"/>
  <c r="P364" i="1"/>
  <c r="M363" i="1"/>
  <c r="N363" i="1"/>
  <c r="O363" i="1"/>
  <c r="P363" i="1"/>
  <c r="M362" i="1"/>
  <c r="N362" i="1"/>
  <c r="P362" i="1"/>
  <c r="O362" i="1"/>
  <c r="M361" i="1"/>
  <c r="N361" i="1"/>
  <c r="O361" i="1"/>
  <c r="P361" i="1"/>
  <c r="N360" i="1"/>
  <c r="M360" i="1"/>
  <c r="O360" i="1"/>
  <c r="P360" i="1"/>
  <c r="M359" i="1"/>
  <c r="N359" i="1"/>
  <c r="O359" i="1"/>
  <c r="P359" i="1"/>
  <c r="M358" i="1"/>
  <c r="N358" i="1"/>
  <c r="O358" i="1"/>
  <c r="P358" i="1"/>
  <c r="M357" i="1"/>
  <c r="N357" i="1"/>
  <c r="O357" i="1"/>
  <c r="P357" i="1"/>
  <c r="M356" i="1"/>
  <c r="N356" i="1"/>
  <c r="O356" i="1"/>
  <c r="P356" i="1"/>
  <c r="M355" i="1"/>
  <c r="N355" i="1"/>
  <c r="O355" i="1"/>
  <c r="P355" i="1"/>
  <c r="P354" i="1"/>
  <c r="O354" i="1"/>
  <c r="M354" i="1"/>
  <c r="N354" i="1"/>
  <c r="M352" i="1"/>
  <c r="M353" i="1"/>
  <c r="N352" i="1"/>
  <c r="N353" i="1"/>
  <c r="O352" i="1"/>
  <c r="O353" i="1"/>
  <c r="P352" i="1"/>
  <c r="P353" i="1"/>
  <c r="N351" i="1"/>
  <c r="M351" i="1"/>
  <c r="O351" i="1"/>
  <c r="P351" i="1"/>
  <c r="M203" i="1"/>
  <c r="N203" i="1"/>
  <c r="O203" i="1"/>
  <c r="P203" i="1"/>
  <c r="P349" i="1"/>
  <c r="P350" i="1"/>
  <c r="O349" i="1"/>
  <c r="O350" i="1"/>
  <c r="N349" i="1"/>
  <c r="N350" i="1"/>
  <c r="M350" i="1"/>
  <c r="M349" i="1"/>
  <c r="M332" i="1"/>
  <c r="N332" i="1"/>
  <c r="P345" i="1"/>
  <c r="P346" i="1"/>
  <c r="O345" i="1"/>
  <c r="O346" i="1"/>
  <c r="N345" i="1"/>
  <c r="N346" i="1"/>
  <c r="M345" i="1"/>
  <c r="P347" i="1"/>
  <c r="O347" i="1"/>
  <c r="N347" i="1"/>
  <c r="M347" i="1"/>
  <c r="M348" i="1"/>
  <c r="N348" i="1"/>
  <c r="P348" i="1"/>
  <c r="O348" i="1"/>
  <c r="M331" i="1"/>
  <c r="N331" i="1"/>
  <c r="P344" i="1"/>
  <c r="O344" i="1"/>
  <c r="M344" i="1"/>
  <c r="N344" i="1"/>
  <c r="M343" i="1"/>
  <c r="N343" i="1"/>
  <c r="O343" i="1"/>
  <c r="P343" i="1"/>
  <c r="M342" i="1"/>
  <c r="N342" i="1"/>
  <c r="O342" i="1"/>
  <c r="P342" i="1"/>
  <c r="P341" i="1"/>
  <c r="O341" i="1"/>
  <c r="M341" i="1"/>
  <c r="N341" i="1"/>
  <c r="M340" i="1"/>
  <c r="N340" i="1"/>
  <c r="O340" i="1"/>
  <c r="P340" i="1"/>
  <c r="N339" i="1"/>
  <c r="M339" i="1"/>
  <c r="M338" i="1"/>
  <c r="N338" i="1"/>
  <c r="O339" i="1"/>
  <c r="P339" i="1"/>
  <c r="O338" i="1"/>
  <c r="P338" i="1"/>
  <c r="M337" i="1"/>
  <c r="N337" i="1"/>
  <c r="O337" i="1"/>
  <c r="P337" i="1"/>
  <c r="M335" i="1"/>
  <c r="N335" i="1"/>
  <c r="P335" i="1"/>
  <c r="O335" i="1"/>
  <c r="M334" i="1"/>
  <c r="N334" i="1"/>
  <c r="O334" i="1"/>
  <c r="P334" i="1"/>
  <c r="M333" i="1"/>
  <c r="N333" i="1"/>
  <c r="O333" i="1"/>
  <c r="P330" i="1"/>
  <c r="M256" i="1"/>
  <c r="P329" i="1"/>
  <c r="O328" i="1"/>
  <c r="O329" i="1"/>
  <c r="O330" i="1"/>
  <c r="N328" i="1"/>
  <c r="N329" i="1"/>
  <c r="N330" i="1"/>
  <c r="M327" i="1"/>
  <c r="M328" i="1"/>
  <c r="M329" i="1"/>
  <c r="M330" i="1"/>
  <c r="P328" i="1"/>
  <c r="N327" i="1"/>
  <c r="O327" i="1"/>
  <c r="P327" i="1"/>
  <c r="M326" i="1"/>
  <c r="N326" i="1"/>
  <c r="O326" i="1"/>
  <c r="P326" i="1"/>
  <c r="P325" i="1"/>
  <c r="O325" i="1"/>
  <c r="M325" i="1"/>
  <c r="N325" i="1"/>
  <c r="M323" i="1"/>
  <c r="N323" i="1"/>
  <c r="O323" i="1"/>
  <c r="P323" i="1"/>
  <c r="P322" i="1"/>
  <c r="O322" i="1"/>
  <c r="M322" i="1"/>
  <c r="N322" i="1"/>
  <c r="P320" i="1"/>
  <c r="P321" i="1"/>
  <c r="O320" i="1"/>
  <c r="O321" i="1"/>
  <c r="M320" i="1"/>
  <c r="M321" i="1"/>
  <c r="N320" i="1"/>
  <c r="N321" i="1"/>
  <c r="M319" i="1"/>
  <c r="N319" i="1"/>
  <c r="O319" i="1"/>
  <c r="P319" i="1"/>
  <c r="M318" i="1"/>
  <c r="N318" i="1"/>
  <c r="O318" i="1"/>
  <c r="P318" i="1"/>
  <c r="M317" i="1"/>
  <c r="N317" i="1"/>
  <c r="O317" i="1"/>
  <c r="P317" i="1"/>
  <c r="M316" i="1"/>
  <c r="N316" i="1"/>
  <c r="O316" i="1"/>
  <c r="P316" i="1"/>
  <c r="M315" i="1"/>
  <c r="N315" i="1"/>
  <c r="O315" i="1"/>
  <c r="P315" i="1"/>
  <c r="O314" i="1"/>
  <c r="N314" i="1"/>
  <c r="M314" i="1"/>
  <c r="P314" i="1"/>
  <c r="M313" i="1"/>
  <c r="N313" i="1"/>
  <c r="O313" i="1"/>
  <c r="P312" i="1"/>
  <c r="O312" i="1"/>
  <c r="N312" i="1"/>
  <c r="M312" i="1"/>
  <c r="M311" i="1"/>
  <c r="N311" i="1"/>
  <c r="O311" i="1"/>
  <c r="P311" i="1"/>
  <c r="M310" i="1"/>
  <c r="N310" i="1"/>
  <c r="O310" i="1"/>
  <c r="P310" i="1"/>
  <c r="M289" i="1"/>
  <c r="N289" i="1"/>
  <c r="O289" i="1"/>
  <c r="P289" i="1"/>
  <c r="M309" i="1"/>
  <c r="N309" i="1"/>
  <c r="O309" i="1"/>
  <c r="P309" i="1"/>
  <c r="M308" i="1"/>
  <c r="N308" i="1"/>
  <c r="O308" i="1"/>
  <c r="P308" i="1"/>
  <c r="M307" i="1"/>
  <c r="N307" i="1"/>
  <c r="O307" i="1"/>
  <c r="P307" i="1"/>
  <c r="M306" i="1"/>
  <c r="N306" i="1"/>
  <c r="O306" i="1"/>
  <c r="M305" i="1"/>
  <c r="N305" i="1"/>
  <c r="O305" i="1"/>
  <c r="P305" i="1"/>
  <c r="M304" i="1"/>
  <c r="N304" i="1"/>
  <c r="O304" i="1"/>
  <c r="P304" i="1"/>
  <c r="M303" i="1"/>
  <c r="N303" i="1"/>
  <c r="O303" i="1"/>
  <c r="P303" i="1"/>
  <c r="M302" i="1"/>
  <c r="N302" i="1"/>
  <c r="O302" i="1"/>
  <c r="P302" i="1"/>
  <c r="M301" i="1"/>
  <c r="N301" i="1"/>
  <c r="O301" i="1"/>
  <c r="P301" i="1"/>
  <c r="P298" i="1"/>
  <c r="P299" i="1"/>
  <c r="P300" i="1"/>
  <c r="O298" i="1"/>
  <c r="O299" i="1"/>
  <c r="O300" i="1"/>
  <c r="N298" i="1"/>
  <c r="N299" i="1"/>
  <c r="N300" i="1"/>
  <c r="M298" i="1"/>
  <c r="M299" i="1"/>
  <c r="M300" i="1"/>
  <c r="M297" i="1"/>
  <c r="N297" i="1"/>
  <c r="O297" i="1"/>
  <c r="P297" i="1"/>
  <c r="M296" i="1"/>
  <c r="N296" i="1"/>
  <c r="O296" i="1"/>
  <c r="P296" i="1"/>
  <c r="M295" i="1"/>
  <c r="N295" i="1"/>
  <c r="O295" i="1"/>
  <c r="M293" i="1"/>
  <c r="N293" i="1"/>
  <c r="O293" i="1"/>
  <c r="P293" i="1"/>
  <c r="M292" i="1"/>
  <c r="N292" i="1"/>
  <c r="O292" i="1"/>
  <c r="P292" i="1"/>
  <c r="M291" i="1"/>
  <c r="N291" i="1"/>
  <c r="O291" i="1"/>
  <c r="P291" i="1"/>
  <c r="M290" i="1"/>
  <c r="N290" i="1"/>
  <c r="O290" i="1"/>
  <c r="P290" i="1"/>
  <c r="M288" i="1"/>
  <c r="N288" i="1"/>
  <c r="O288" i="1"/>
  <c r="P288" i="1"/>
  <c r="M287" i="1"/>
  <c r="N287" i="1"/>
  <c r="O287" i="1"/>
  <c r="P287" i="1"/>
  <c r="M286" i="1"/>
  <c r="N286" i="1"/>
  <c r="O286" i="1"/>
  <c r="P286" i="1"/>
  <c r="P285" i="1"/>
  <c r="O285" i="1"/>
  <c r="N285" i="1"/>
  <c r="M285" i="1"/>
  <c r="M284" i="1"/>
  <c r="N284" i="1"/>
  <c r="O284" i="1"/>
  <c r="P284" i="1"/>
  <c r="M279" i="1"/>
  <c r="N279" i="1"/>
  <c r="O279" i="1"/>
  <c r="P279" i="1"/>
  <c r="O283" i="1"/>
  <c r="N283" i="1"/>
  <c r="M283" i="1"/>
  <c r="P283" i="1"/>
  <c r="M282" i="1"/>
  <c r="N282" i="1"/>
  <c r="O282" i="1"/>
  <c r="P282" i="1"/>
  <c r="M281" i="1"/>
  <c r="N281" i="1"/>
  <c r="O281" i="1"/>
  <c r="P281" i="1"/>
  <c r="M280" i="1"/>
  <c r="N280" i="1"/>
  <c r="O280" i="1"/>
  <c r="P280" i="1"/>
  <c r="M278" i="1"/>
  <c r="N278" i="1"/>
  <c r="O278" i="1"/>
  <c r="P278" i="1"/>
  <c r="M277" i="1"/>
  <c r="N277" i="1"/>
  <c r="O277" i="1"/>
  <c r="P277" i="1"/>
  <c r="N276" i="1"/>
  <c r="M276" i="1"/>
  <c r="O276" i="1"/>
  <c r="P276" i="1"/>
  <c r="P275" i="1"/>
  <c r="O275" i="1"/>
  <c r="N275" i="1"/>
  <c r="M275" i="1"/>
  <c r="P274" i="1"/>
  <c r="O274" i="1"/>
  <c r="N274" i="1"/>
  <c r="M274" i="1"/>
  <c r="P273" i="1"/>
  <c r="O273" i="1"/>
  <c r="N273" i="1"/>
  <c r="M273" i="1"/>
  <c r="P272" i="1"/>
  <c r="O272" i="1"/>
  <c r="N272" i="1"/>
  <c r="M272" i="1"/>
  <c r="P271" i="1"/>
  <c r="O271" i="1"/>
  <c r="N271" i="1"/>
  <c r="M271" i="1"/>
  <c r="P270" i="1"/>
  <c r="O270" i="1"/>
  <c r="N270" i="1"/>
  <c r="M270" i="1"/>
  <c r="P269" i="1"/>
  <c r="O269" i="1"/>
  <c r="N269" i="1"/>
  <c r="M269" i="1"/>
  <c r="P268" i="1"/>
  <c r="O268" i="1"/>
  <c r="N268" i="1"/>
  <c r="M268" i="1"/>
  <c r="P267" i="1"/>
  <c r="O267" i="1"/>
  <c r="N267" i="1"/>
  <c r="M267" i="1"/>
  <c r="P266" i="1"/>
  <c r="O266" i="1"/>
  <c r="N266" i="1"/>
  <c r="M266" i="1"/>
  <c r="P264" i="1"/>
  <c r="O264" i="1"/>
  <c r="N264" i="1"/>
  <c r="M264" i="1"/>
  <c r="P263" i="1"/>
  <c r="O263" i="1"/>
  <c r="N263" i="1"/>
  <c r="M263" i="1"/>
  <c r="O262" i="1"/>
  <c r="N262" i="1"/>
  <c r="M262" i="1"/>
  <c r="P261" i="1"/>
  <c r="O261" i="1"/>
  <c r="N261" i="1"/>
  <c r="M261" i="1"/>
  <c r="P260" i="1"/>
  <c r="O260" i="1"/>
  <c r="N260" i="1"/>
  <c r="M260" i="1"/>
  <c r="O258" i="1"/>
  <c r="O259" i="1"/>
  <c r="M259" i="1"/>
  <c r="N259" i="1"/>
  <c r="O257" i="1"/>
  <c r="N257" i="1"/>
  <c r="N258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4" i="1"/>
  <c r="M255" i="1"/>
  <c r="M257" i="1"/>
  <c r="M258" i="1"/>
  <c r="P256" i="1"/>
  <c r="O256" i="1"/>
  <c r="N256" i="1"/>
  <c r="P252" i="1"/>
  <c r="O252" i="1"/>
  <c r="N252" i="1"/>
  <c r="N254" i="1"/>
  <c r="O254" i="1"/>
  <c r="P254" i="1"/>
  <c r="N253" i="1"/>
  <c r="O253" i="1"/>
  <c r="P253" i="1"/>
  <c r="P251" i="1"/>
  <c r="N251" i="1"/>
  <c r="O18" i="1"/>
  <c r="O251" i="1"/>
  <c r="P250" i="1"/>
  <c r="O250" i="1"/>
  <c r="N250" i="1"/>
  <c r="P249" i="1"/>
  <c r="O249" i="1"/>
  <c r="N249" i="1"/>
  <c r="P248" i="1"/>
  <c r="O248" i="1"/>
  <c r="N248" i="1"/>
  <c r="P247" i="1"/>
  <c r="O247" i="1"/>
  <c r="N247" i="1"/>
  <c r="P88" i="1"/>
  <c r="O88" i="1"/>
  <c r="N88" i="1"/>
  <c r="P246" i="1"/>
  <c r="O246" i="1"/>
  <c r="N246" i="1"/>
  <c r="P245" i="1"/>
  <c r="O245" i="1"/>
  <c r="N245" i="1"/>
  <c r="P244" i="1"/>
  <c r="O244" i="1"/>
  <c r="N244" i="1"/>
  <c r="P243" i="1"/>
  <c r="O243" i="1"/>
  <c r="N243" i="1"/>
  <c r="P242" i="1"/>
  <c r="O242" i="1"/>
  <c r="N242" i="1"/>
  <c r="P241" i="1"/>
  <c r="O241" i="1"/>
  <c r="N241" i="1"/>
  <c r="P240" i="1"/>
  <c r="O240" i="1"/>
  <c r="N240" i="1"/>
  <c r="P239" i="1"/>
  <c r="O239" i="1"/>
  <c r="N239" i="1"/>
  <c r="M239" i="1"/>
  <c r="P238" i="1"/>
  <c r="O238" i="1"/>
  <c r="N238" i="1"/>
  <c r="M238" i="1"/>
  <c r="N2" i="1"/>
  <c r="M2" i="1"/>
  <c r="P237" i="1"/>
  <c r="O237" i="1"/>
  <c r="M237" i="1"/>
  <c r="N237" i="1"/>
  <c r="M236" i="1"/>
  <c r="N236" i="1"/>
  <c r="O236" i="1"/>
  <c r="P236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159" i="1"/>
  <c r="P227" i="1"/>
  <c r="N227" i="1"/>
  <c r="M227" i="1"/>
  <c r="P178" i="1"/>
  <c r="N178" i="1"/>
  <c r="M178" i="1"/>
  <c r="P128" i="1"/>
  <c r="N128" i="1"/>
  <c r="P111" i="1"/>
  <c r="N111" i="1"/>
  <c r="P20" i="1"/>
  <c r="N20" i="1"/>
  <c r="P12" i="1"/>
  <c r="N12" i="1"/>
  <c r="P79" i="1"/>
  <c r="N79" i="1"/>
  <c r="P21" i="1"/>
  <c r="N21" i="1"/>
  <c r="P25" i="1"/>
  <c r="N25" i="1"/>
  <c r="P181" i="1"/>
  <c r="N181" i="1"/>
  <c r="M181" i="1"/>
  <c r="P24" i="1"/>
  <c r="N24" i="1"/>
  <c r="P156" i="1"/>
  <c r="N156" i="1"/>
  <c r="M156" i="1"/>
  <c r="P23" i="1"/>
  <c r="N23" i="1"/>
  <c r="P201" i="1"/>
  <c r="N201" i="1"/>
  <c r="M201" i="1"/>
  <c r="P26" i="1"/>
  <c r="N26" i="1"/>
  <c r="P22" i="1"/>
  <c r="N22" i="1"/>
  <c r="P19" i="1"/>
  <c r="N19" i="1"/>
  <c r="P205" i="1"/>
  <c r="N205" i="1"/>
  <c r="M205" i="1"/>
  <c r="P206" i="1"/>
  <c r="N206" i="1"/>
  <c r="M206" i="1"/>
  <c r="P208" i="1"/>
  <c r="N208" i="1"/>
  <c r="M208" i="1"/>
  <c r="Y95" i="1"/>
  <c r="P95" i="1"/>
  <c r="N95" i="1"/>
  <c r="Y133" i="1"/>
  <c r="P133" i="1"/>
  <c r="N133" i="1"/>
  <c r="X136" i="1"/>
  <c r="Y136" i="1"/>
  <c r="P136" i="1"/>
  <c r="N136" i="1"/>
  <c r="Y92" i="1"/>
  <c r="P92" i="1"/>
  <c r="N92" i="1"/>
  <c r="Y93" i="1"/>
  <c r="P93" i="1"/>
  <c r="N93" i="1"/>
  <c r="Y96" i="1"/>
  <c r="P96" i="1"/>
  <c r="N96" i="1"/>
  <c r="Y130" i="1"/>
  <c r="P130" i="1"/>
  <c r="N130" i="1"/>
  <c r="Y97" i="1"/>
  <c r="P97" i="1"/>
  <c r="N97" i="1"/>
  <c r="P169" i="1"/>
  <c r="N169" i="1"/>
  <c r="M169" i="1"/>
  <c r="Y129" i="1"/>
  <c r="P129" i="1"/>
  <c r="N129" i="1"/>
  <c r="P131" i="1"/>
  <c r="N131" i="1"/>
  <c r="Y94" i="1"/>
  <c r="P94" i="1"/>
  <c r="N94" i="1"/>
  <c r="P167" i="1"/>
  <c r="N167" i="1"/>
  <c r="M167" i="1"/>
  <c r="P168" i="1"/>
  <c r="N168" i="1"/>
  <c r="M168" i="1"/>
  <c r="P165" i="1"/>
  <c r="N165" i="1"/>
  <c r="M165" i="1"/>
  <c r="Y164" i="1"/>
  <c r="P164" i="1"/>
  <c r="N164" i="1"/>
  <c r="M164" i="1"/>
  <c r="P166" i="1"/>
  <c r="N166" i="1"/>
  <c r="M166" i="1"/>
  <c r="Y73" i="1"/>
  <c r="P73" i="1"/>
  <c r="N73" i="1"/>
  <c r="P170" i="1"/>
  <c r="N170" i="1"/>
  <c r="M170" i="1"/>
  <c r="P172" i="1"/>
  <c r="N172" i="1"/>
  <c r="M172" i="1"/>
  <c r="P171" i="1"/>
  <c r="N171" i="1"/>
  <c r="M171" i="1"/>
  <c r="Y81" i="1"/>
  <c r="P81" i="1"/>
  <c r="N81" i="1"/>
  <c r="Y80" i="1"/>
  <c r="P80" i="1"/>
  <c r="N80" i="1"/>
  <c r="Y49" i="1"/>
  <c r="P49" i="1"/>
  <c r="N49" i="1"/>
  <c r="P57" i="1"/>
  <c r="N57" i="1"/>
  <c r="P58" i="1"/>
  <c r="N58" i="1"/>
  <c r="P55" i="1"/>
  <c r="N55" i="1"/>
  <c r="N56" i="1"/>
  <c r="Y50" i="1"/>
  <c r="P50" i="1"/>
  <c r="N50" i="1"/>
  <c r="Y105" i="1"/>
  <c r="P105" i="1"/>
  <c r="N105" i="1"/>
  <c r="Y118" i="1"/>
  <c r="P118" i="1"/>
  <c r="N118" i="1"/>
  <c r="Y110" i="1"/>
  <c r="P110" i="1"/>
  <c r="N110" i="1"/>
  <c r="Y51" i="1"/>
  <c r="P51" i="1"/>
  <c r="N51" i="1"/>
  <c r="Y52" i="1"/>
  <c r="P52" i="1"/>
  <c r="N52" i="1"/>
  <c r="Y78" i="1"/>
  <c r="P78" i="1"/>
  <c r="N78" i="1"/>
  <c r="Y48" i="1"/>
  <c r="P48" i="1"/>
  <c r="N48" i="1"/>
  <c r="P46" i="1"/>
  <c r="N46" i="1"/>
  <c r="Y41" i="1"/>
  <c r="P41" i="1"/>
  <c r="N41" i="1"/>
  <c r="P45" i="1"/>
  <c r="N45" i="1"/>
  <c r="P47" i="1"/>
  <c r="N47" i="1"/>
  <c r="Y42" i="1"/>
  <c r="P42" i="1"/>
  <c r="N42" i="1"/>
  <c r="P82" i="1"/>
  <c r="N82" i="1"/>
  <c r="P177" i="1"/>
  <c r="N177" i="1"/>
  <c r="M177" i="1"/>
  <c r="P121" i="1"/>
  <c r="N121" i="1"/>
  <c r="P176" i="1"/>
  <c r="N176" i="1"/>
  <c r="M176" i="1"/>
  <c r="P120" i="1"/>
  <c r="N120" i="1"/>
  <c r="P183" i="1"/>
  <c r="N183" i="1"/>
  <c r="P43" i="1"/>
  <c r="N43" i="1"/>
  <c r="P204" i="1"/>
  <c r="N204" i="1"/>
  <c r="Y63" i="1"/>
  <c r="P63" i="1"/>
  <c r="N63" i="1"/>
  <c r="Y39" i="1"/>
  <c r="P39" i="1"/>
  <c r="N39" i="1"/>
  <c r="X62" i="1"/>
  <c r="Y62" i="1"/>
  <c r="P62" i="1"/>
  <c r="N62" i="1"/>
  <c r="Y38" i="1"/>
  <c r="P38" i="1"/>
  <c r="N38" i="1"/>
  <c r="Y66" i="1"/>
  <c r="P66" i="1"/>
  <c r="N66" i="1"/>
  <c r="Y17" i="1"/>
  <c r="P17" i="1"/>
  <c r="N17" i="1"/>
  <c r="P179" i="1"/>
  <c r="N179" i="1"/>
  <c r="P83" i="1"/>
  <c r="N83" i="1"/>
  <c r="X61" i="1"/>
  <c r="Y61" i="1"/>
  <c r="P61" i="1"/>
  <c r="N61" i="1"/>
  <c r="X60" i="1"/>
  <c r="Y60" i="1"/>
  <c r="P60" i="1"/>
  <c r="N60" i="1"/>
  <c r="P44" i="1"/>
  <c r="N44" i="1"/>
  <c r="Y190" i="1"/>
  <c r="P190" i="1"/>
  <c r="N190" i="1"/>
  <c r="M190" i="1"/>
  <c r="Y193" i="1"/>
  <c r="P193" i="1"/>
  <c r="N193" i="1"/>
  <c r="M193" i="1"/>
  <c r="Y194" i="1"/>
  <c r="P194" i="1"/>
  <c r="N194" i="1"/>
  <c r="M194" i="1"/>
  <c r="P84" i="1"/>
  <c r="N84" i="1"/>
  <c r="Y187" i="1"/>
  <c r="P187" i="1"/>
  <c r="N187" i="1"/>
  <c r="M187" i="1"/>
  <c r="P197" i="1"/>
  <c r="N197" i="1"/>
  <c r="M197" i="1"/>
  <c r="Y192" i="1"/>
  <c r="P192" i="1"/>
  <c r="N192" i="1"/>
  <c r="M192" i="1"/>
  <c r="P196" i="1"/>
  <c r="N196" i="1"/>
  <c r="M196" i="1"/>
  <c r="Y191" i="1"/>
  <c r="P191" i="1"/>
  <c r="N191" i="1"/>
  <c r="M191" i="1"/>
  <c r="X59" i="1"/>
  <c r="Y59" i="1"/>
  <c r="P59" i="1"/>
  <c r="N59" i="1"/>
  <c r="P15" i="1"/>
  <c r="N15" i="1"/>
  <c r="Y18" i="1"/>
  <c r="P18" i="1"/>
  <c r="N18" i="1"/>
  <c r="P68" i="1"/>
  <c r="N68" i="1"/>
  <c r="P69" i="1"/>
  <c r="N69" i="1"/>
  <c r="P65" i="1"/>
  <c r="N65" i="1"/>
  <c r="Y36" i="1"/>
  <c r="P36" i="1"/>
  <c r="N36" i="1"/>
  <c r="P67" i="1"/>
  <c r="N67" i="1"/>
  <c r="P70" i="1"/>
  <c r="N70" i="1"/>
  <c r="P27" i="1"/>
  <c r="N27" i="1"/>
  <c r="Y71" i="1"/>
  <c r="P71" i="1"/>
  <c r="N71" i="1"/>
  <c r="P72" i="1"/>
  <c r="N72" i="1"/>
  <c r="P85" i="1"/>
  <c r="N85" i="1"/>
  <c r="Y31" i="1"/>
  <c r="P31" i="1"/>
  <c r="N31" i="1"/>
  <c r="Y185" i="1"/>
  <c r="P185" i="1"/>
  <c r="N185" i="1"/>
  <c r="M185" i="1"/>
  <c r="Y30" i="1"/>
  <c r="P30" i="1"/>
  <c r="N30" i="1"/>
  <c r="Y29" i="1"/>
  <c r="P29" i="1"/>
  <c r="N29" i="1"/>
  <c r="Y116" i="1"/>
  <c r="P116" i="1"/>
  <c r="N116" i="1"/>
  <c r="Y173" i="1"/>
  <c r="P173" i="1"/>
  <c r="N173" i="1"/>
  <c r="M173" i="1"/>
  <c r="P231" i="1"/>
  <c r="N231" i="1"/>
  <c r="M231" i="1"/>
  <c r="Y186" i="1"/>
  <c r="P186" i="1"/>
  <c r="N186" i="1"/>
  <c r="M186" i="1"/>
  <c r="Y184" i="1"/>
  <c r="P184" i="1"/>
  <c r="N184" i="1"/>
  <c r="M184" i="1"/>
  <c r="Y33" i="1"/>
  <c r="P33" i="1"/>
  <c r="N33" i="1"/>
  <c r="Y188" i="1"/>
  <c r="P188" i="1"/>
  <c r="N188" i="1"/>
  <c r="M188" i="1"/>
  <c r="Y199" i="1"/>
  <c r="P199" i="1"/>
  <c r="N199" i="1"/>
  <c r="M199" i="1"/>
  <c r="Y28" i="1"/>
  <c r="P28" i="1"/>
  <c r="N28" i="1"/>
  <c r="P37" i="1"/>
  <c r="N37" i="1"/>
  <c r="Y16" i="1"/>
  <c r="P16" i="1"/>
  <c r="N16" i="1"/>
  <c r="Y174" i="1"/>
  <c r="P174" i="1"/>
  <c r="N174" i="1"/>
  <c r="M174" i="1"/>
  <c r="Y32" i="1"/>
  <c r="P32" i="1"/>
  <c r="N32" i="1"/>
  <c r="Y198" i="1"/>
  <c r="P198" i="1"/>
  <c r="N198" i="1"/>
  <c r="M198" i="1"/>
  <c r="Y195" i="1"/>
  <c r="P195" i="1"/>
  <c r="N195" i="1"/>
  <c r="M195" i="1"/>
  <c r="P230" i="1"/>
  <c r="N230" i="1"/>
  <c r="M230" i="1"/>
  <c r="Y200" i="1"/>
  <c r="P200" i="1"/>
  <c r="N200" i="1"/>
  <c r="M200" i="1"/>
  <c r="P223" i="1"/>
  <c r="N223" i="1"/>
  <c r="M223" i="1"/>
  <c r="P222" i="1"/>
  <c r="N222" i="1"/>
  <c r="M222" i="1"/>
  <c r="Y159" i="1"/>
  <c r="P159" i="1"/>
  <c r="N159" i="1"/>
  <c r="M159" i="1"/>
  <c r="P189" i="1"/>
  <c r="N189" i="1"/>
  <c r="M189" i="1"/>
  <c r="Y202" i="1"/>
  <c r="P202" i="1"/>
  <c r="N202" i="1"/>
  <c r="M202" i="1"/>
  <c r="Y35" i="1"/>
  <c r="P35" i="1"/>
  <c r="N35" i="1"/>
  <c r="Y34" i="1"/>
  <c r="P34" i="1"/>
  <c r="N34" i="1"/>
  <c r="Y219" i="1"/>
  <c r="P219" i="1"/>
  <c r="N219" i="1"/>
  <c r="M219" i="1"/>
  <c r="Y220" i="1"/>
  <c r="P220" i="1"/>
  <c r="N220" i="1"/>
  <c r="M220" i="1"/>
  <c r="P153" i="1"/>
  <c r="N153" i="1"/>
  <c r="M153" i="1"/>
  <c r="Y10" i="1"/>
  <c r="P10" i="1"/>
  <c r="N10" i="1"/>
  <c r="P217" i="1"/>
  <c r="N217" i="1"/>
  <c r="M217" i="1"/>
  <c r="P218" i="1"/>
  <c r="N218" i="1"/>
  <c r="M218" i="1"/>
  <c r="Y40" i="1"/>
  <c r="P40" i="1"/>
  <c r="N40" i="1"/>
  <c r="P221" i="1"/>
  <c r="N221" i="1"/>
  <c r="M221" i="1"/>
  <c r="X225" i="1"/>
  <c r="Y225" i="1"/>
  <c r="P225" i="1"/>
  <c r="N225" i="1"/>
  <c r="M225" i="1"/>
  <c r="Y11" i="1"/>
  <c r="P11" i="1"/>
  <c r="N11" i="1"/>
  <c r="Y224" i="1"/>
  <c r="P224" i="1"/>
  <c r="N224" i="1"/>
  <c r="M224" i="1"/>
  <c r="P234" i="1"/>
  <c r="N234" i="1"/>
  <c r="M234" i="1"/>
  <c r="P233" i="1"/>
  <c r="N233" i="1"/>
  <c r="M233" i="1"/>
  <c r="P226" i="1"/>
  <c r="N226" i="1"/>
  <c r="M226" i="1"/>
  <c r="P229" i="1"/>
  <c r="N229" i="1"/>
  <c r="M229" i="1"/>
  <c r="P148" i="1"/>
  <c r="N148" i="1"/>
  <c r="P228" i="1"/>
  <c r="N228" i="1"/>
  <c r="M228" i="1"/>
  <c r="Y150" i="1"/>
  <c r="P150" i="1"/>
  <c r="N150" i="1"/>
  <c r="M150" i="1"/>
  <c r="Y147" i="1"/>
  <c r="P147" i="1"/>
  <c r="N147" i="1"/>
  <c r="Y145" i="1"/>
  <c r="P145" i="1"/>
  <c r="N145" i="1"/>
  <c r="P152" i="1"/>
  <c r="N152" i="1"/>
  <c r="M152" i="1"/>
  <c r="P143" i="1"/>
  <c r="N143" i="1"/>
  <c r="Y144" i="1"/>
  <c r="P144" i="1"/>
  <c r="N144" i="1"/>
  <c r="Y149" i="1"/>
  <c r="P149" i="1"/>
  <c r="N149" i="1"/>
  <c r="M149" i="1"/>
  <c r="P151" i="1"/>
  <c r="N151" i="1"/>
  <c r="M151" i="1"/>
  <c r="P146" i="1"/>
  <c r="N146" i="1"/>
  <c r="P142" i="1"/>
  <c r="N142" i="1"/>
  <c r="P141" i="1"/>
  <c r="N141" i="1"/>
  <c r="P108" i="1"/>
  <c r="N108" i="1"/>
  <c r="Y212" i="1"/>
  <c r="P212" i="1"/>
  <c r="N212" i="1"/>
  <c r="M212" i="1"/>
  <c r="P210" i="1"/>
  <c r="N210" i="1"/>
  <c r="M210" i="1"/>
  <c r="X215" i="1"/>
  <c r="Y215" i="1"/>
  <c r="P215" i="1"/>
  <c r="N215" i="1"/>
  <c r="M215" i="1"/>
  <c r="Y211" i="1"/>
  <c r="P211" i="1"/>
  <c r="N211" i="1"/>
  <c r="M211" i="1"/>
  <c r="P107" i="1"/>
  <c r="N107" i="1"/>
  <c r="P155" i="1"/>
  <c r="N155" i="1"/>
  <c r="M155" i="1"/>
  <c r="Y158" i="1"/>
  <c r="P158" i="1"/>
  <c r="N158" i="1"/>
  <c r="M158" i="1"/>
  <c r="Y157" i="1"/>
  <c r="P157" i="1"/>
  <c r="N157" i="1"/>
  <c r="M157" i="1"/>
  <c r="P163" i="1"/>
  <c r="N163" i="1"/>
  <c r="M163" i="1"/>
  <c r="Y213" i="1"/>
  <c r="P213" i="1"/>
  <c r="N213" i="1"/>
  <c r="M213" i="1"/>
  <c r="Y140" i="1"/>
  <c r="P140" i="1"/>
  <c r="N140" i="1"/>
  <c r="P154" i="1"/>
  <c r="N154" i="1"/>
  <c r="M154" i="1"/>
  <c r="Y209" i="1"/>
  <c r="P209" i="1"/>
  <c r="N209" i="1"/>
  <c r="M209" i="1"/>
  <c r="Y90" i="1"/>
  <c r="P90" i="1"/>
  <c r="N90" i="1"/>
  <c r="Y91" i="1"/>
  <c r="P91" i="1"/>
  <c r="N91" i="1"/>
  <c r="Y117" i="1"/>
  <c r="P117" i="1"/>
  <c r="N117" i="1"/>
  <c r="P162" i="1"/>
  <c r="N162" i="1"/>
  <c r="M162" i="1"/>
  <c r="P101" i="1"/>
  <c r="N101" i="1"/>
  <c r="P102" i="1"/>
  <c r="N102" i="1"/>
  <c r="Y119" i="1"/>
  <c r="P119" i="1"/>
  <c r="N119" i="1"/>
  <c r="P125" i="1"/>
  <c r="N125" i="1"/>
  <c r="P124" i="1"/>
  <c r="N124" i="1"/>
  <c r="Y75" i="1"/>
  <c r="P75" i="1"/>
  <c r="N75" i="1"/>
  <c r="Y76" i="1"/>
  <c r="P76" i="1"/>
  <c r="N76" i="1"/>
  <c r="P74" i="1"/>
  <c r="N74" i="1"/>
  <c r="P104" i="1"/>
  <c r="N104" i="1"/>
  <c r="Y6" i="1"/>
  <c r="N6" i="1"/>
  <c r="P6" i="1"/>
  <c r="P14" i="1"/>
  <c r="N14" i="1"/>
  <c r="P13" i="1"/>
  <c r="N13" i="1"/>
  <c r="Y5" i="1"/>
  <c r="P5" i="1"/>
  <c r="N5" i="1"/>
  <c r="Y2" i="1"/>
  <c r="Y4" i="1"/>
  <c r="P4" i="1"/>
  <c r="N4" i="1"/>
  <c r="Y3" i="1"/>
  <c r="N3" i="1"/>
  <c r="Y9" i="1"/>
  <c r="P9" i="1"/>
  <c r="N9" i="1"/>
  <c r="Y8" i="1"/>
  <c r="P8" i="1"/>
  <c r="N8" i="1"/>
  <c r="P127" i="1"/>
  <c r="N127" i="1"/>
  <c r="Y126" i="1"/>
  <c r="P126" i="1"/>
  <c r="N126" i="1"/>
  <c r="Y175" i="1"/>
  <c r="P175" i="1"/>
  <c r="N175" i="1"/>
  <c r="M175" i="1"/>
  <c r="Y138" i="1"/>
  <c r="P138" i="1"/>
  <c r="N138" i="1"/>
  <c r="Y132" i="1"/>
  <c r="P132" i="1"/>
  <c r="N132" i="1"/>
  <c r="Y135" i="1"/>
  <c r="P135" i="1"/>
  <c r="N135" i="1"/>
  <c r="Y134" i="1"/>
  <c r="P134" i="1"/>
  <c r="N134" i="1"/>
  <c r="P137" i="1"/>
  <c r="N137" i="1"/>
  <c r="X160" i="1"/>
  <c r="Y160" i="1"/>
  <c r="P160" i="1"/>
  <c r="N160" i="1"/>
  <c r="M160" i="1"/>
  <c r="P161" i="1"/>
  <c r="N161" i="1"/>
  <c r="M161" i="1"/>
  <c r="P214" i="1"/>
  <c r="N214" i="1"/>
  <c r="M214" i="1"/>
  <c r="Y182" i="1"/>
  <c r="P182" i="1"/>
  <c r="N182" i="1"/>
  <c r="M182" i="1"/>
  <c r="Y180" i="1"/>
  <c r="P180" i="1"/>
  <c r="N180" i="1"/>
  <c r="M180" i="1"/>
  <c r="Y99" i="1"/>
  <c r="P99" i="1"/>
  <c r="N99" i="1"/>
  <c r="Y103" i="1"/>
  <c r="P103" i="1"/>
  <c r="N103" i="1"/>
  <c r="Y100" i="1"/>
  <c r="P100" i="1"/>
  <c r="N100" i="1"/>
  <c r="Y106" i="1"/>
  <c r="P106" i="1"/>
  <c r="N106" i="1"/>
  <c r="X232" i="1"/>
  <c r="Y232" i="1"/>
  <c r="P232" i="1"/>
  <c r="N232" i="1"/>
  <c r="M232" i="1"/>
  <c r="Y235" i="1"/>
  <c r="P235" i="1"/>
  <c r="N235" i="1"/>
  <c r="M235" i="1"/>
  <c r="Y86" i="1"/>
  <c r="P86" i="1"/>
  <c r="N86" i="1"/>
  <c r="P87" i="1"/>
  <c r="N87" i="1"/>
  <c r="P89" i="1"/>
  <c r="N89" i="1"/>
  <c r="Y77" i="1"/>
  <c r="P77" i="1"/>
  <c r="N77" i="1"/>
  <c r="Y112" i="1"/>
  <c r="P112" i="1"/>
  <c r="N112" i="1"/>
  <c r="P113" i="1"/>
  <c r="N113" i="1"/>
  <c r="P115" i="1"/>
  <c r="N115" i="1"/>
  <c r="P114" i="1"/>
  <c r="N114" i="1"/>
  <c r="Y122" i="1"/>
  <c r="P122" i="1"/>
  <c r="N122" i="1"/>
  <c r="Y64" i="1"/>
  <c r="P64" i="1"/>
  <c r="N64" i="1"/>
  <c r="Y123" i="1"/>
  <c r="P123" i="1"/>
  <c r="N123" i="1"/>
  <c r="P7" i="1"/>
  <c r="N7" i="1"/>
  <c r="Y54" i="1"/>
  <c r="P54" i="1"/>
  <c r="N54" i="1"/>
  <c r="Y216" i="1"/>
  <c r="P216" i="1"/>
  <c r="N216" i="1"/>
  <c r="M216" i="1"/>
  <c r="P98" i="1"/>
  <c r="N98" i="1"/>
  <c r="Y109" i="1"/>
  <c r="P109" i="1"/>
  <c r="N109" i="1"/>
  <c r="Y139" i="1"/>
  <c r="P139" i="1"/>
  <c r="N139" i="1"/>
  <c r="P207" i="1"/>
  <c r="N207" i="1"/>
  <c r="M207" i="1"/>
  <c r="Y53" i="1"/>
  <c r="P53" i="1"/>
  <c r="N53" i="1"/>
  <c r="O2" i="1"/>
  <c r="P3" i="1"/>
  <c r="P2" i="1"/>
</calcChain>
</file>

<file path=xl/sharedStrings.xml><?xml version="1.0" encoding="utf-8"?>
<sst xmlns="http://schemas.openxmlformats.org/spreadsheetml/2006/main" count="5296" uniqueCount="1198">
  <si>
    <t>Name</t>
  </si>
  <si>
    <t>Alternative Name or affiliated larger volcano</t>
  </si>
  <si>
    <t>GVP Number</t>
  </si>
  <si>
    <t>Shape Type</t>
  </si>
  <si>
    <t>Area km2</t>
  </si>
  <si>
    <t>Perimeter km</t>
  </si>
  <si>
    <t>Latitude</t>
  </si>
  <si>
    <t>Longitude</t>
  </si>
  <si>
    <t>Country</t>
    <phoneticPr fontId="4" type="noConversion"/>
  </si>
  <si>
    <t>Land Use</t>
  </si>
  <si>
    <t>Major</t>
  </si>
  <si>
    <t>Minor</t>
  </si>
  <si>
    <t>Average Diameter</t>
  </si>
  <si>
    <t>Aspect Ratio (circle = 1)</t>
  </si>
  <si>
    <t>Elongation (circle =1)</t>
  </si>
  <si>
    <t>Isopemetric Circularity (circle =1)</t>
  </si>
  <si>
    <t>Volcanic Field type</t>
  </si>
  <si>
    <t xml:space="preserve">With other maars? </t>
  </si>
  <si>
    <t>Field Name</t>
  </si>
  <si>
    <t>Underlying geology</t>
  </si>
  <si>
    <t>Tectonic setting</t>
  </si>
  <si>
    <t>Elevation (m)</t>
  </si>
  <si>
    <t>Depth (m)</t>
  </si>
  <si>
    <t>Depth/Diameter</t>
  </si>
  <si>
    <t>Age yrs or Time</t>
  </si>
  <si>
    <t>Composition</t>
  </si>
  <si>
    <t>Big Hole</t>
  </si>
  <si>
    <t>Polygon</t>
  </si>
  <si>
    <t>USA</t>
  </si>
  <si>
    <t>Arid</t>
  </si>
  <si>
    <t>Complex Volcanic Field</t>
  </si>
  <si>
    <t>Few</t>
  </si>
  <si>
    <t>Newberry</t>
  </si>
  <si>
    <t>basalt lavas, ignimbrite</t>
  </si>
  <si>
    <t>Subduction</t>
  </si>
  <si>
    <t>130/160</t>
  </si>
  <si>
    <t>n/a</t>
  </si>
  <si>
    <t>Earth Point Topo; Lorenz 1970</t>
  </si>
  <si>
    <t>Cerro Overo</t>
  </si>
  <si>
    <t xml:space="preserve">Chile </t>
  </si>
  <si>
    <t>Andes</t>
  </si>
  <si>
    <t>basaltic andesite volcanic rocks</t>
  </si>
  <si>
    <t>Andesite</t>
  </si>
  <si>
    <t>GVP</t>
  </si>
  <si>
    <t>Aljojuca Maar</t>
  </si>
  <si>
    <t>Mexico</t>
  </si>
  <si>
    <t>Urban</t>
  </si>
  <si>
    <t>Small Volcano Field</t>
  </si>
  <si>
    <t>Yes</t>
  </si>
  <si>
    <t>Serdan Oriental</t>
  </si>
  <si>
    <t>Basalts and volcaniclastics</t>
  </si>
  <si>
    <t>Intraplate</t>
  </si>
  <si>
    <t>80, lake = 50.6</t>
  </si>
  <si>
    <t>Basalt</t>
  </si>
  <si>
    <t>CONABIO; Carrasco Nunez et al. 2014</t>
  </si>
  <si>
    <t>Luna</t>
  </si>
  <si>
    <t>Moon</t>
  </si>
  <si>
    <t>Pinacate Volcanic Field</t>
  </si>
  <si>
    <t>basin filling sediment</t>
  </si>
  <si>
    <t>Basin and Range</t>
  </si>
  <si>
    <t>Late Pleistocene</t>
  </si>
  <si>
    <t>Gutmann 2002</t>
  </si>
  <si>
    <t>Kino</t>
  </si>
  <si>
    <t>Los Loros Maar</t>
  </si>
  <si>
    <t>Argentina</t>
  </si>
  <si>
    <t>No</t>
  </si>
  <si>
    <t>Payenia Volcanic Province</t>
  </si>
  <si>
    <t>Possible</t>
  </si>
  <si>
    <t>Braided river</t>
  </si>
  <si>
    <t>Back arc</t>
  </si>
  <si>
    <t>1 mya</t>
  </si>
  <si>
    <t>bimodal: phonolite, rhyolite</t>
  </si>
  <si>
    <t>Nemeth et al. 2012</t>
  </si>
  <si>
    <t>Hole in the ground</t>
  </si>
  <si>
    <t>buried drainage</t>
  </si>
  <si>
    <t>13-18k</t>
  </si>
  <si>
    <t>Heiken 1971</t>
  </si>
  <si>
    <t>Viti Askja</t>
  </si>
  <si>
    <t>Askja</t>
  </si>
  <si>
    <t>SHP</t>
  </si>
  <si>
    <t>Iceland</t>
  </si>
  <si>
    <t>Caldera fill</t>
  </si>
  <si>
    <t>Extension plus hotspot</t>
  </si>
  <si>
    <t>1875 AD</t>
  </si>
  <si>
    <t>Carey et al. 2009; Carey et al. 2010</t>
  </si>
  <si>
    <t>La Joyuela</t>
  </si>
  <si>
    <t>Forest and farm</t>
  </si>
  <si>
    <t>Ventura Espiritu Santo</t>
  </si>
  <si>
    <t>carbonates</t>
  </si>
  <si>
    <t>intraplate rift basin</t>
  </si>
  <si>
    <t>basanite</t>
  </si>
  <si>
    <t>Aranda-Gomez and Luhr 1996; Aranda-Gomez and Davila-Harris 2014</t>
  </si>
  <si>
    <t>Stracciacappa</t>
  </si>
  <si>
    <t>Italy</t>
  </si>
  <si>
    <t>Forest</t>
  </si>
  <si>
    <t>Sabatini Volcanic District</t>
  </si>
  <si>
    <t>carbonates capped by lava</t>
  </si>
  <si>
    <t>50 m plus lake</t>
  </si>
  <si>
    <t>97000 (plus minus 4 ka)</t>
  </si>
  <si>
    <t>Tephrite</t>
  </si>
  <si>
    <t>Valentine et al. 2015b</t>
  </si>
  <si>
    <t xml:space="preserve">Mexico </t>
  </si>
  <si>
    <t>cretaceous limestones, calcareous mudstones, with ctert bands, breccias and some tertiary volcanics</t>
  </si>
  <si>
    <t>220 m (plus 120 m tuff ring)</t>
  </si>
  <si>
    <t>basanite to olivine basalt</t>
  </si>
  <si>
    <t>Aranda-Gomez and Luhr 1996; Lopez Loera et al. 2008; Aranda-Gomez and Davila-Harris 2014</t>
  </si>
  <si>
    <t>QHA3</t>
  </si>
  <si>
    <t>Iran</t>
  </si>
  <si>
    <t>Qal'eh Hasan Ali</t>
  </si>
  <si>
    <t>Desert alluvium, granodiorite and Eocene volcanics</t>
  </si>
  <si>
    <t>Holocene</t>
  </si>
  <si>
    <t>Tephrite, Trachybasalt to Basanite</t>
  </si>
  <si>
    <t>Milton 1977</t>
  </si>
  <si>
    <t>QHA2</t>
  </si>
  <si>
    <t>QHA1</t>
  </si>
  <si>
    <t>Qal'eh Hasan Ali (Great Crater)</t>
  </si>
  <si>
    <t>Dotsero Crater, CO</t>
  </si>
  <si>
    <t>Alone</t>
  </si>
  <si>
    <t>evaporite and lithified sandstones (Pennsylvanian age)</t>
  </si>
  <si>
    <t>211/120</t>
  </si>
  <si>
    <t>2000-5000, 4150</t>
  </si>
  <si>
    <t>basalt/picrite</t>
  </si>
  <si>
    <t>Ubehebe crater Z</t>
  </si>
  <si>
    <t xml:space="preserve">Ubehebe </t>
  </si>
  <si>
    <t>fanglomerate</t>
  </si>
  <si>
    <t>~6</t>
  </si>
  <si>
    <t>Alkali basalt</t>
  </si>
  <si>
    <t>Fisher and Waters 1970; Crowe and Fisher 1973; Wood and Kienle 1990</t>
  </si>
  <si>
    <t>~15</t>
  </si>
  <si>
    <t>yes</t>
  </si>
  <si>
    <t>Ubehebe</t>
  </si>
  <si>
    <t>Laguna Azul</t>
  </si>
  <si>
    <t>Pali Aike Volcanic Field</t>
  </si>
  <si>
    <t>Fluvialglacial sediments</t>
  </si>
  <si>
    <t>Gebhardt et al. 2011</t>
  </si>
  <si>
    <t>Laguna Potrok</t>
  </si>
  <si>
    <t>Zolitschka et al. 2006; Mazzarini and D'Orazio 2003</t>
  </si>
  <si>
    <t>Elegante Crater</t>
  </si>
  <si>
    <t xml:space="preserve">Polygon </t>
  </si>
  <si>
    <t>lava flows</t>
  </si>
  <si>
    <t>Verdugo</t>
  </si>
  <si>
    <t>MacDougal</t>
  </si>
  <si>
    <t>lava flows on basin fill sediments</t>
  </si>
  <si>
    <t>Sykes</t>
  </si>
  <si>
    <t>Grande/Romo/Tinaja de los Papgos</t>
  </si>
  <si>
    <t>Vidrios</t>
  </si>
  <si>
    <t>Celaya</t>
  </si>
  <si>
    <t>lava flows over basin sediments</t>
  </si>
  <si>
    <t>Eledoi</t>
  </si>
  <si>
    <t>Tanzania</t>
  </si>
  <si>
    <t>Lake Natron-Engaruka Monogenetic Volcanic Field</t>
  </si>
  <si>
    <t>lavas and pyroclastic rocks</t>
  </si>
  <si>
    <t xml:space="preserve">Continental rift </t>
  </si>
  <si>
    <t>melilitite</t>
  </si>
  <si>
    <t>Berghuijs and Mattsson 2013</t>
  </si>
  <si>
    <t>Loolmurwak</t>
  </si>
  <si>
    <t>&lt;370000</t>
  </si>
  <si>
    <t>Mangere Lagoon</t>
  </si>
  <si>
    <t>New Zealand</t>
  </si>
  <si>
    <t xml:space="preserve">Urban City </t>
  </si>
  <si>
    <t>Auckland Volcanic Region</t>
  </si>
  <si>
    <t>Lavas of neighboring volcano</t>
  </si>
  <si>
    <t xml:space="preserve">Hayward et al. </t>
  </si>
  <si>
    <t xml:space="preserve">Hule Maar </t>
  </si>
  <si>
    <t>Poas; Bosque Alegre</t>
  </si>
  <si>
    <t>Costa Rica</t>
  </si>
  <si>
    <t>Forest and lake</t>
  </si>
  <si>
    <t>Central Volcanic Range</t>
  </si>
  <si>
    <t>layers of andesitic lava, volcaniclastic and pyroclastic materail</t>
  </si>
  <si>
    <t>Volcanic fracutre on stratocone in a subjuction zone</t>
  </si>
  <si>
    <t>26.5+rim</t>
  </si>
  <si>
    <t>basaltic andesite</t>
  </si>
  <si>
    <t>Alvarado et al. 2011</t>
  </si>
  <si>
    <t>Laguna del Rio Cuarto</t>
  </si>
  <si>
    <t>Poas; Laguna de los Misterios, Del Misterio, kooper, Laguna Yurro hondo, Rio Hondo</t>
  </si>
  <si>
    <t>Poas Volcano, Central Volcanic Range</t>
  </si>
  <si>
    <t>layers of lava, volcaniclastic and pyroclastic material</t>
  </si>
  <si>
    <t>Tepexitl</t>
    <phoneticPr fontId="4" type="noConversion"/>
  </si>
  <si>
    <t>Vegetated</t>
  </si>
  <si>
    <t>limestone covered by volcanics</t>
  </si>
  <si>
    <t>29.1+/- 3.5 ka</t>
  </si>
  <si>
    <t>Rhyolite</t>
  </si>
  <si>
    <t>Austin-Erickson et al. 2011; Ross et al. 2017</t>
  </si>
  <si>
    <t>Quechulac</t>
  </si>
  <si>
    <t>40, lake = 40</t>
  </si>
  <si>
    <t>CONABIO</t>
  </si>
  <si>
    <t>La Preciosa</t>
  </si>
  <si>
    <t>Lake</t>
  </si>
  <si>
    <t>40, lake = 45.5</t>
  </si>
  <si>
    <t>Alchichica</t>
  </si>
  <si>
    <t>160,lake = 64.6</t>
  </si>
  <si>
    <t>Tecuitlapa</t>
  </si>
  <si>
    <t>Water Plants</t>
  </si>
  <si>
    <t>90, lake = 2.5</t>
  </si>
  <si>
    <t>Ort and Carrasco Nunez 2009</t>
  </si>
  <si>
    <t>Debunscha Maar</t>
  </si>
  <si>
    <t>on Mount Cameroon</t>
  </si>
  <si>
    <t>Cameroon</t>
  </si>
  <si>
    <t>Coastal</t>
  </si>
  <si>
    <t>Kumba Volcanic Field</t>
  </si>
  <si>
    <t>Mt. Cameroon deposits</t>
  </si>
  <si>
    <t>20 m above lake</t>
  </si>
  <si>
    <t>&lt;10000</t>
  </si>
  <si>
    <t>olivine basalt</t>
  </si>
  <si>
    <t>Ngwa et al. 2010</t>
  </si>
  <si>
    <t>Diamond Head</t>
  </si>
  <si>
    <t>Hawaii (Ohau)</t>
  </si>
  <si>
    <t>Ocean island</t>
  </si>
  <si>
    <t>Hot Spot, Ocean Island</t>
  </si>
  <si>
    <t>Peterson and Groh 1964; Wood and Kienle 1990; BLM pamphlet</t>
  </si>
  <si>
    <t>subset of Michoacan Guanojuato field</t>
  </si>
  <si>
    <t>Valle de Santiago</t>
  </si>
  <si>
    <t>Overlapping older volcanic construct</t>
  </si>
  <si>
    <t>Siebe et al. 2014 Field Guide</t>
  </si>
  <si>
    <t xml:space="preserve">Nanwaksjiak Crater </t>
  </si>
  <si>
    <t>Nunivak Island</t>
  </si>
  <si>
    <t>Pemafrost</t>
  </si>
  <si>
    <t>200 (74 above lake)</t>
  </si>
  <si>
    <t>&lt;300000</t>
  </si>
  <si>
    <t>Wood and Kienle 1990</t>
  </si>
  <si>
    <t>Ahkiwiksnuk Crater</t>
  </si>
  <si>
    <t>permafrost</t>
  </si>
  <si>
    <t>45 plus lake</t>
  </si>
  <si>
    <t>WhiteFishLake</t>
  </si>
  <si>
    <t>Tundra</t>
  </si>
  <si>
    <t>Seward Alaska</t>
  </si>
  <si>
    <t>Permafrost (pleistocene sediment and lavas)</t>
  </si>
  <si>
    <t>Quaternary</t>
  </si>
  <si>
    <t>Hopkins 1988 and Beget et al. 1996</t>
  </si>
  <si>
    <t>Devil Mountain South</t>
  </si>
  <si>
    <t>25 m plus lake (100 m)</t>
  </si>
  <si>
    <t>&gt;18000</t>
  </si>
  <si>
    <t>Devil Mountain North</t>
  </si>
  <si>
    <t>30 plus 100 m lake</t>
  </si>
  <si>
    <t>Killeak North</t>
  </si>
  <si>
    <t>22 plus lake (60 m)</t>
  </si>
  <si>
    <t>UkinrekW</t>
  </si>
  <si>
    <t>Aleutian Range</t>
  </si>
  <si>
    <t>Permafrost / glacial deposits</t>
  </si>
  <si>
    <t>Self et al. 1980; Kienle et al. 1981</t>
  </si>
  <si>
    <t>UkinrekE</t>
  </si>
  <si>
    <t>Self et al. 1980; Kienle et al. 1980</t>
  </si>
  <si>
    <t>Killeak South</t>
  </si>
  <si>
    <t>Permafrost ~100 ft thick</t>
  </si>
  <si>
    <t>40 m plus lake (25 lake)</t>
  </si>
  <si>
    <t>Cerro Colorado</t>
  </si>
  <si>
    <t>playa mud</t>
  </si>
  <si>
    <t>Ichinomegata</t>
  </si>
  <si>
    <t>Japan</t>
  </si>
  <si>
    <t>Megata Field (Honshu)</t>
  </si>
  <si>
    <t>Pleistocene marine terrace over neogene volcanics and granitoids</t>
  </si>
  <si>
    <t>80-60 ka</t>
  </si>
  <si>
    <t>Andesite to dacite</t>
  </si>
  <si>
    <t>Sakuyama and Koyaguchi 1984; Okuno.et al 2011</t>
  </si>
  <si>
    <t>Sannomegata</t>
  </si>
  <si>
    <t>30-22 ka</t>
  </si>
  <si>
    <t>Andesite/Basaltic Andesite</t>
  </si>
  <si>
    <t>Sakuyama and Koyaguchi 1984; Yamada et al. 2010; Okuno.et al 2013</t>
  </si>
  <si>
    <t>Ninomegata</t>
  </si>
  <si>
    <t>2050 BCE</t>
  </si>
  <si>
    <t>Sakuyama and Koyaguchi 1984; Yamada et al. 2010</t>
  </si>
  <si>
    <t>Pozo del Carmen</t>
  </si>
  <si>
    <t>Farm and lake</t>
  </si>
  <si>
    <t>Plioquaternary gravelly sediments</t>
  </si>
  <si>
    <t>Aranda-Gomez and Luhr 1996</t>
  </si>
  <si>
    <t>Laguna de los Palau</t>
  </si>
  <si>
    <t>Al Wahbah</t>
  </si>
  <si>
    <t>Saudi Arabia</t>
  </si>
  <si>
    <t xml:space="preserve">Harrat Kishb </t>
  </si>
  <si>
    <t>Proterozoic diorite</t>
  </si>
  <si>
    <t>Grainger 1996; Moufti et al. 2013; Wahab et al. 2014</t>
  </si>
  <si>
    <t>Molina</t>
  </si>
  <si>
    <t>quartzofeldspathic fluvial gravels</t>
  </si>
  <si>
    <t>Tinajita</t>
  </si>
  <si>
    <t>Badila</t>
  </si>
  <si>
    <t>Liado Hayk (LDH1)</t>
  </si>
  <si>
    <t>Ethiopia</t>
  </si>
  <si>
    <t>Liado Hayk Volcanic Field</t>
  </si>
  <si>
    <t>River valley</t>
  </si>
  <si>
    <t>La Brena-El Jaguey</t>
  </si>
  <si>
    <t>Durango Volcanic Field</t>
  </si>
  <si>
    <t>Scoria cones and basaltic lava flows (paleotopography) and older ash flow tuffs</t>
  </si>
  <si>
    <t>Aranda-Gomez et al. 1992</t>
  </si>
  <si>
    <t>Stonemanlake</t>
  </si>
  <si>
    <t>Arid lake</t>
  </si>
  <si>
    <t>Mormon</t>
  </si>
  <si>
    <t>Sedimentary rocks of the Colorado Plateau</t>
  </si>
  <si>
    <t>Gust and Arculus 1986</t>
  </si>
  <si>
    <t>Dry Lake Maar</t>
  </si>
  <si>
    <t>San Francisco</t>
  </si>
  <si>
    <t>Valentine 2012</t>
  </si>
  <si>
    <t>Lake Pupuke Maar</t>
  </si>
  <si>
    <t xml:space="preserve">New Zealand </t>
  </si>
  <si>
    <t>Shield volcano</t>
  </si>
  <si>
    <t>57 m + ring (30?)</t>
  </si>
  <si>
    <t>193-208 ka, 250 ka</t>
  </si>
  <si>
    <t>Lindsay et al. 2011</t>
  </si>
  <si>
    <t>Laguna Asososca</t>
  </si>
  <si>
    <t>Las Pilas</t>
  </si>
  <si>
    <t>Nicaragua</t>
  </si>
  <si>
    <t>stratovolcano</t>
  </si>
  <si>
    <t>160 plus lake</t>
  </si>
  <si>
    <t xml:space="preserve">Basaltic andesite </t>
  </si>
  <si>
    <t>Badilla.etal.2001</t>
  </si>
  <si>
    <t>laguna del Hoyo</t>
  </si>
  <si>
    <t>Suchitan</t>
  </si>
  <si>
    <t>Guatemala</t>
  </si>
  <si>
    <t>Between Cuilapa-Barbarena and Chiquimulla fields</t>
  </si>
  <si>
    <t>Tahual basalt and andesite lavas</t>
  </si>
  <si>
    <t>1000's of years</t>
  </si>
  <si>
    <t>Williams et al. 1964</t>
  </si>
  <si>
    <t>Panmure Basin</t>
  </si>
  <si>
    <t>Te Kopua Kai a Hiku</t>
  </si>
  <si>
    <t>Waitemata Sandstone (peat? 1 mya unclear)</t>
  </si>
  <si>
    <t>25 m plus lake (40 m of sediment)</t>
  </si>
  <si>
    <t>Camiguin</t>
  </si>
  <si>
    <t>Philippines</t>
  </si>
  <si>
    <t>Pers com. Paguican</t>
  </si>
  <si>
    <t>Urban and lake</t>
  </si>
  <si>
    <t>Nejapa MiraFlores Volcanic Field</t>
  </si>
  <si>
    <t>Back arc, Masaya Graben</t>
  </si>
  <si>
    <t>Pardo et al. 2008; 2009; Avellan et al. 2012</t>
  </si>
  <si>
    <t>Nejapa</t>
  </si>
  <si>
    <t>6000-9000</t>
  </si>
  <si>
    <t>basalt to basaltic andesite</t>
  </si>
  <si>
    <t>Apoyoque/Chiltepe</t>
  </si>
  <si>
    <t>Apoyoque (Chiltepe) Volcanic Complex</t>
  </si>
  <si>
    <t>Dacite to rhyolite</t>
  </si>
  <si>
    <t>Yonemaru</t>
  </si>
  <si>
    <t>Farm</t>
  </si>
  <si>
    <t>Aira</t>
  </si>
  <si>
    <t>6500-6700 BP; 8200</t>
  </si>
  <si>
    <t>Moriwaki 1991; JMA</t>
  </si>
  <si>
    <t>Onepotu Maar</t>
  </si>
  <si>
    <t>41 m of sediment</t>
  </si>
  <si>
    <t>250 ka</t>
  </si>
  <si>
    <t>Pukaki Maar</t>
  </si>
  <si>
    <t>&gt;65000</t>
  </si>
  <si>
    <t>Hayward et al. 2011</t>
  </si>
  <si>
    <t>Tank Farm</t>
  </si>
  <si>
    <t>&gt;100,000</t>
  </si>
  <si>
    <t>Orakei Maar</t>
  </si>
  <si>
    <t>&gt;81 m sediments</t>
  </si>
  <si>
    <t>85 ka, 80 ka</t>
  </si>
  <si>
    <t>Sumiyoshiike</t>
    <phoneticPr fontId="4" type="noConversion"/>
  </si>
  <si>
    <t>Kyushu Volcanic field</t>
  </si>
  <si>
    <t xml:space="preserve">Subduction </t>
  </si>
  <si>
    <t>6700-7000</t>
  </si>
  <si>
    <t>Moriwaki 1992; JMA</t>
  </si>
  <si>
    <t xml:space="preserve">Aligator lake </t>
  </si>
  <si>
    <t>Laguna Volcanic Field</t>
  </si>
  <si>
    <t>San Pablo Volcanic Field</t>
  </si>
  <si>
    <t>Rift basin</t>
  </si>
  <si>
    <t>27 m plus rim</t>
  </si>
  <si>
    <t>Ku et al. 2009; sanpablocity.info/lakes.php</t>
  </si>
  <si>
    <t>Mojicap</t>
  </si>
  <si>
    <t>Malucan Lake</t>
  </si>
  <si>
    <t>Förster et al. 1990; Ku et al. 2009</t>
  </si>
  <si>
    <t>Imoc Lake</t>
  </si>
  <si>
    <t>Lake Guano</t>
  </si>
  <si>
    <t>Australia</t>
  </si>
  <si>
    <t>Newer Volcanic Province</t>
  </si>
  <si>
    <t>Boyce et al. 2013</t>
  </si>
  <si>
    <t>Bunot Lake</t>
  </si>
  <si>
    <t>23 m plus ring</t>
  </si>
  <si>
    <t>Forster et al. 1990; Ku et al. 2009; sanpablocity.info/lakes.php</t>
  </si>
  <si>
    <t>Pandin Lake</t>
  </si>
  <si>
    <t>63 m plus ring</t>
  </si>
  <si>
    <t>Yambo Lake</t>
  </si>
  <si>
    <t>Lake Tikub</t>
  </si>
  <si>
    <t>Palakpakin Lake</t>
  </si>
  <si>
    <t>7.5m plus ring</t>
  </si>
  <si>
    <t>Kalibato Lake</t>
  </si>
  <si>
    <t>135 m plus ring</t>
  </si>
  <si>
    <t>Lake Sampaloc</t>
  </si>
  <si>
    <t>27 m plus ring</t>
  </si>
  <si>
    <t>Wangoom</t>
  </si>
  <si>
    <t>Balambano Valley</t>
  </si>
  <si>
    <t>Malang Plain</t>
  </si>
  <si>
    <t>Indonesia</t>
  </si>
  <si>
    <t>Lake Elingamite</t>
  </si>
  <si>
    <t>Cobrico Swamp</t>
  </si>
  <si>
    <t>Pali Aike Maar</t>
  </si>
  <si>
    <t>&lt;1.5 Mya</t>
  </si>
  <si>
    <t>Ross et al. 2011</t>
  </si>
  <si>
    <t>Laguna Ana</t>
  </si>
  <si>
    <t>Coragulac</t>
  </si>
  <si>
    <t>120 (40 m sediment)</t>
  </si>
  <si>
    <t>14 ka to 4.5 Ma</t>
  </si>
  <si>
    <t>mafic</t>
  </si>
  <si>
    <t>Maars 385</t>
  </si>
  <si>
    <t xml:space="preserve">USA </t>
  </si>
  <si>
    <t>Purrumbete</t>
  </si>
  <si>
    <t>Jordan et al. 2013</t>
  </si>
  <si>
    <t>Lake Keilambete</t>
  </si>
  <si>
    <t>Battle Ground Lake WA</t>
  </si>
  <si>
    <t>Cascades</t>
  </si>
  <si>
    <t>30 m plus lake</t>
  </si>
  <si>
    <t>Earth Point Topo</t>
  </si>
  <si>
    <t>Lake Edward</t>
  </si>
  <si>
    <t>Lake Leake</t>
  </si>
  <si>
    <t xml:space="preserve">Binalik Crater </t>
  </si>
  <si>
    <t>50 plus lake</t>
  </si>
  <si>
    <t>Laguna Aramuaca</t>
  </si>
  <si>
    <t>El Salvador</t>
  </si>
  <si>
    <t>Quarry</t>
  </si>
  <si>
    <t>50-100 m rim</t>
  </si>
  <si>
    <t>Mt. Gambier Blue Lake</t>
  </si>
  <si>
    <t>90 plus lake</t>
  </si>
  <si>
    <t>vanOtterloo et al. 2013</t>
  </si>
  <si>
    <t>Mt. Gambier Browne's Lake</t>
  </si>
  <si>
    <t>100 plus lake</t>
  </si>
  <si>
    <t>vanOtterloo et al. 2014</t>
  </si>
  <si>
    <t xml:space="preserve">Holz Maar 2 </t>
  </si>
  <si>
    <t>West Eifel</t>
  </si>
  <si>
    <t>Germany</t>
  </si>
  <si>
    <t>Eifel Volcanic Region</t>
  </si>
  <si>
    <t>Lorenz 1973</t>
  </si>
  <si>
    <t>Holz Maar</t>
  </si>
  <si>
    <t xml:space="preserve">Germany </t>
  </si>
  <si>
    <t>&gt;9560</t>
  </si>
  <si>
    <t>Zolitschka et al. 1995</t>
  </si>
  <si>
    <t xml:space="preserve">Logung </t>
  </si>
  <si>
    <t xml:space="preserve">Forest  </t>
  </si>
  <si>
    <t>Lamongan Volcanic Field</t>
  </si>
  <si>
    <t>Carn et al. 2000</t>
  </si>
  <si>
    <t>Ranu Bedali Merged</t>
  </si>
  <si>
    <t>5000-30000</t>
  </si>
  <si>
    <t>Gnotuk</t>
  </si>
  <si>
    <t>Bullen Merri</t>
  </si>
  <si>
    <t>R. Lading Maar</t>
  </si>
  <si>
    <t>Laguna Porcura</t>
  </si>
  <si>
    <t>Carrán-Los Venados volcano group</t>
  </si>
  <si>
    <t>Regional tension in a transpressive domain, orthogonal to subduction</t>
  </si>
  <si>
    <t>Lara et al. 2016</t>
  </si>
  <si>
    <t>120 m plus lake</t>
  </si>
  <si>
    <t>Ranu Pakis</t>
  </si>
  <si>
    <t>Pulvermaar Maar</t>
  </si>
  <si>
    <t>15-20000 (8300/300)</t>
  </si>
  <si>
    <t>Barombi Mbo</t>
  </si>
  <si>
    <t>110+23 m lake sediment</t>
  </si>
  <si>
    <t>Chako-Tchambe et al. 2013, 2014; ASTER GDEM NASA and METI</t>
  </si>
  <si>
    <t>Krokur Maar</t>
  </si>
  <si>
    <t>Krasheninnikov</t>
  </si>
  <si>
    <t>Russia</t>
  </si>
  <si>
    <t>80 (plus lake)</t>
  </si>
  <si>
    <t xml:space="preserve">Hinkelsmaar </t>
  </si>
  <si>
    <t>&gt;28000</t>
  </si>
  <si>
    <t>40 m plus lake</t>
  </si>
  <si>
    <t>9560(8740)11000</t>
  </si>
  <si>
    <t>Nephlinite</t>
  </si>
  <si>
    <t>Zolitschka et al. 1995; Sirocko et al. 2013</t>
  </si>
  <si>
    <t>R. Kambang</t>
  </si>
  <si>
    <t>Ranu Air</t>
  </si>
  <si>
    <t>Immerather Maar</t>
  </si>
  <si>
    <t>70 m plus lake</t>
  </si>
  <si>
    <t>R. Gunungparang</t>
  </si>
  <si>
    <t>Ranu Wurung</t>
  </si>
  <si>
    <t>Carran Pillanilahue</t>
  </si>
  <si>
    <t>Lara et al. 2015</t>
  </si>
  <si>
    <t>Lake Dissoni/Soden maar</t>
  </si>
  <si>
    <t>Chako-Tchambe et al. 2015</t>
  </si>
  <si>
    <t>Caldera Blanca</t>
  </si>
  <si>
    <t>Spain</t>
  </si>
  <si>
    <t>Lanzarote Island, Canary Islands</t>
  </si>
  <si>
    <t>basaltic</t>
  </si>
  <si>
    <t>Kervyn et al. 2012; Clarke et al. 2009; GVP</t>
  </si>
  <si>
    <t xml:space="preserve">Gemundener Maar </t>
  </si>
  <si>
    <t>90 m plus lake</t>
  </si>
  <si>
    <t>Dauner (Totenmaar, Weinfelder Maar)</t>
  </si>
  <si>
    <t>R. Gedang</t>
  </si>
  <si>
    <t xml:space="preserve">Schalkenmehrener Maar </t>
  </si>
  <si>
    <t>100 m plus lake</t>
  </si>
  <si>
    <t>20-25000</t>
  </si>
  <si>
    <t>Sirocko et al. 2013</t>
  </si>
  <si>
    <t>Lago do Congro</t>
  </si>
  <si>
    <t>Agua de Pau</t>
  </si>
  <si>
    <t>Portugal</t>
  </si>
  <si>
    <t>Azores</t>
  </si>
  <si>
    <t>Fondi di Baia</t>
  </si>
  <si>
    <t>Campei Flegrei</t>
  </si>
  <si>
    <t>Isaia et al. 2015</t>
  </si>
  <si>
    <t>Solfatara</t>
  </si>
  <si>
    <t>Booser Maar</t>
  </si>
  <si>
    <t>Averno</t>
  </si>
  <si>
    <t>4300-5250</t>
  </si>
  <si>
    <t>Prata Porci</t>
  </si>
  <si>
    <t>Colli Albani</t>
  </si>
  <si>
    <t>foidite</t>
  </si>
  <si>
    <t>Sottili et al. 2009</t>
  </si>
  <si>
    <t>Meerfeld Maar</t>
  </si>
  <si>
    <t>150 m plus lake</t>
  </si>
  <si>
    <t>Martignano</t>
    <phoneticPr fontId="4" type="noConversion"/>
  </si>
  <si>
    <t>Freda et al. 2006; Sottili et al. 2009; Taddeucci et al. 2010</t>
  </si>
  <si>
    <t>Lago de Nemi</t>
  </si>
  <si>
    <t>Lago Albano</t>
  </si>
  <si>
    <t>36-500 ka</t>
  </si>
  <si>
    <t>Valentiny Maar</t>
  </si>
  <si>
    <t xml:space="preserve">Russia </t>
  </si>
  <si>
    <t>100 (plus lake)</t>
  </si>
  <si>
    <t>&gt;10000</t>
  </si>
  <si>
    <t>Kinenin Maar</t>
  </si>
  <si>
    <t>1100 (850 BCE)</t>
  </si>
  <si>
    <t>Donglongwan</t>
  </si>
  <si>
    <t>China</t>
  </si>
  <si>
    <t>Long Gang Volcanic Field</t>
  </si>
  <si>
    <t>Mingram et al. 2004</t>
  </si>
  <si>
    <t xml:space="preserve">E of R. Kembar </t>
  </si>
  <si>
    <t>R. Segaran Merah</t>
  </si>
  <si>
    <t>R. Segaran Duwas</t>
  </si>
  <si>
    <t>Lagoa de Sao Bras</t>
  </si>
  <si>
    <t xml:space="preserve">Pateranandjur </t>
  </si>
  <si>
    <t>R. Kembar</t>
  </si>
  <si>
    <t>Seneze</t>
  </si>
  <si>
    <t>France</t>
  </si>
  <si>
    <t>Chaîne des Puys</t>
  </si>
  <si>
    <t>Longwanhu</t>
  </si>
  <si>
    <t>Longwantang (Nanlongwan)</t>
  </si>
  <si>
    <t>Sete Cidades</t>
  </si>
  <si>
    <t>LNEMVF 1</t>
  </si>
  <si>
    <t>Poygon</t>
  </si>
  <si>
    <t>olivine melilitite to nephelinitic</t>
  </si>
  <si>
    <t>Mattsson and Tripoli 2012</t>
  </si>
  <si>
    <t>Lake Dal'nee</t>
  </si>
  <si>
    <t>Uzon</t>
  </si>
  <si>
    <t>32 (plus lake)</t>
  </si>
  <si>
    <t>Basaltic andesite</t>
  </si>
  <si>
    <t>La Crossa de Sant Maar</t>
  </si>
  <si>
    <t>Olot</t>
  </si>
  <si>
    <t>Garrotxa Volcanic Field/ Olot Volcanic Field</t>
  </si>
  <si>
    <t>50 (30 m of sediment)</t>
  </si>
  <si>
    <t>&lt;1.7 Mya</t>
  </si>
  <si>
    <t>Bolos et al. 2012</t>
  </si>
  <si>
    <t>Gour de Tazenat</t>
  </si>
  <si>
    <t>14 ka</t>
  </si>
  <si>
    <t>Macrops 2015 and references therein</t>
  </si>
  <si>
    <t>Sanjiaolongwan</t>
  </si>
  <si>
    <t>Maar D Anchal</t>
  </si>
  <si>
    <t>Sihailongwan (Longwan)</t>
  </si>
  <si>
    <t>Lake Masoko</t>
  </si>
  <si>
    <t>Rungwe Volcanic Area</t>
  </si>
  <si>
    <t>lake = 38 m</t>
  </si>
  <si>
    <t>Garcin et al. 2006</t>
  </si>
  <si>
    <t xml:space="preserve">Lac de'n Haut </t>
  </si>
  <si>
    <t xml:space="preserve">France </t>
  </si>
  <si>
    <t>Mattsson and Tripoli 2013</t>
  </si>
  <si>
    <t>Jabal Simagh</t>
  </si>
  <si>
    <t>Harrat Kishb</t>
  </si>
  <si>
    <t>Moufti et al. 2013</t>
  </si>
  <si>
    <t>Murumuu</t>
  </si>
  <si>
    <t>Uganda</t>
  </si>
  <si>
    <t>Katwe-Kikorongo</t>
  </si>
  <si>
    <t>Foidite</t>
  </si>
  <si>
    <t>Jabal Um ad Dullu</t>
  </si>
  <si>
    <t>Moufti et al. 2013; Wahab et al. 2014</t>
  </si>
  <si>
    <t>Nyamanyuka</t>
  </si>
  <si>
    <t>Turkey</t>
  </si>
  <si>
    <t>Eğrikuyu Monogenetic Field</t>
  </si>
  <si>
    <t xml:space="preserve">Lac Chauvet </t>
  </si>
  <si>
    <t>60 m plus lake</t>
  </si>
  <si>
    <t xml:space="preserve">Le Lac de Issarles </t>
  </si>
  <si>
    <t>forest and lake</t>
  </si>
  <si>
    <t>Lac de Saint-Front</t>
  </si>
  <si>
    <t xml:space="preserve">Lac Pavin </t>
  </si>
  <si>
    <t>Alberic et al. 2013; Leyrit et al. 2016</t>
  </si>
  <si>
    <t>Lac du Bouchet</t>
  </si>
  <si>
    <t>Blue Lake Oregon</t>
  </si>
  <si>
    <t>&lt;3500 (680 CE)</t>
  </si>
  <si>
    <t>Sherrod et al. 2004 USGS Bend Quadrangle, map 2683</t>
  </si>
  <si>
    <t>Little Soda Lake</t>
  </si>
  <si>
    <t>USA</t>
    <phoneticPr fontId="4" type="noConversion"/>
  </si>
  <si>
    <t>17 plus ring</t>
  </si>
  <si>
    <t>Rosen et al. 2004</t>
  </si>
  <si>
    <t>South Twin Lake</t>
  </si>
  <si>
    <t xml:space="preserve"> -121.7658341 </t>
  </si>
  <si>
    <t>33 m plus lake</t>
  </si>
  <si>
    <t>North Twin Lake</t>
  </si>
  <si>
    <t xml:space="preserve"> -121.7663079 </t>
  </si>
  <si>
    <t>66 m plus lake</t>
  </si>
  <si>
    <t>Paramore</t>
  </si>
  <si>
    <t>Geronimo</t>
  </si>
  <si>
    <t>0.3-3.2 Mya</t>
  </si>
  <si>
    <t>basanite to hawaiite</t>
  </si>
  <si>
    <t>Wood And Kienle 1990</t>
  </si>
  <si>
    <t>Joya Prieta</t>
  </si>
  <si>
    <t xml:space="preserve">Santo Domingo </t>
  </si>
  <si>
    <t>Mt Riley Maar NM</t>
  </si>
  <si>
    <t>North of Twin Lakes</t>
  </si>
  <si>
    <t>Diamond Craters</t>
  </si>
  <si>
    <t>olivine tholeiite to transitional basalt</t>
  </si>
  <si>
    <t>Dry Maar</t>
  </si>
  <si>
    <t>Malheur Maar</t>
  </si>
  <si>
    <t>East Twin Crater</t>
  </si>
  <si>
    <t>West Twin Crater</t>
  </si>
  <si>
    <t xml:space="preserve">Easy Chair </t>
  </si>
  <si>
    <t>Lunar Crater Volcanic Field</t>
  </si>
  <si>
    <t>Valentine and Cortes 2013</t>
  </si>
  <si>
    <t>Lunar Crater</t>
  </si>
  <si>
    <t>&lt;600 ka</t>
  </si>
  <si>
    <t>Valentine et al. 2011</t>
  </si>
  <si>
    <t xml:space="preserve">Tido </t>
  </si>
  <si>
    <t>Arid farmland</t>
  </si>
  <si>
    <t>Bilate River Volcanic Field</t>
  </si>
  <si>
    <t>Bode Ameda</t>
  </si>
  <si>
    <t>Budamada</t>
  </si>
  <si>
    <t>Deep Hole</t>
  </si>
  <si>
    <t>Lassen</t>
  </si>
  <si>
    <t>60-300 ka</t>
  </si>
  <si>
    <t>Clynne and Muffler 2010 (map)</t>
  </si>
  <si>
    <t>Kiroftu Lake</t>
  </si>
  <si>
    <t>Debre Zeyt Volcanic Field</t>
  </si>
  <si>
    <t>Bishoftu Volcanic Field</t>
  </si>
  <si>
    <t>Gasparon 1993</t>
  </si>
  <si>
    <t>Haro Maja</t>
  </si>
  <si>
    <t>Emilia et al. 1977</t>
  </si>
  <si>
    <t>Bishoftu Guda Lake</t>
  </si>
  <si>
    <t>Bishoftu Lake</t>
  </si>
  <si>
    <t>Hora Lake</t>
  </si>
  <si>
    <t>Zuni  Salt Lake</t>
  </si>
  <si>
    <t>Zuni Bandera Volcanic Field</t>
  </si>
  <si>
    <t>Peters et al. 2008</t>
  </si>
  <si>
    <t>Michoacan Guanjuanto</t>
  </si>
  <si>
    <t>Aranda-Gomez and Davila-Harris 2014</t>
  </si>
  <si>
    <t>Espinos</t>
    <phoneticPr fontId="4" type="noConversion"/>
  </si>
  <si>
    <t>Lake Hora Hoda</t>
  </si>
  <si>
    <t>Red Hill maar chain</t>
  </si>
  <si>
    <t>Quemando/Red Hill</t>
  </si>
  <si>
    <t>Wood and Kienle 1990; Chamberlin et al. 1994; Earth Point Topo</t>
  </si>
  <si>
    <t>Red Hill maar</t>
  </si>
  <si>
    <t xml:space="preserve">Mt Taylor 2 </t>
  </si>
  <si>
    <t>Atexcac Maar</t>
  </si>
  <si>
    <t>Lopez-Rojas and Carrasco-Nunez, 2015</t>
  </si>
  <si>
    <t>Cerro Pinto</t>
  </si>
  <si>
    <t>Zimmer et al. 2010; Carrasco Nunez et al. 2014</t>
  </si>
  <si>
    <t xml:space="preserve">Springerville </t>
  </si>
  <si>
    <t>&lt;2.5 Ma</t>
  </si>
  <si>
    <t>Wood and Kienle 1990, Earth Point Topo</t>
  </si>
  <si>
    <t>Cerro Hueco</t>
  </si>
  <si>
    <t>Cerro Tujle</t>
  </si>
  <si>
    <t>Nehke Khota</t>
  </si>
  <si>
    <t>Boliva</t>
  </si>
  <si>
    <t>Central Bolivian Altiplano Field</t>
  </si>
  <si>
    <t>Davidson and De Silva 1992;1995</t>
  </si>
  <si>
    <t>Laguna Jayu Khota</t>
  </si>
  <si>
    <t>Davidson and De Silva 1992;1994</t>
  </si>
  <si>
    <t>Koldobische Maar</t>
  </si>
  <si>
    <t>Khetik</t>
  </si>
  <si>
    <t>Illinsky</t>
  </si>
  <si>
    <t>1901?</t>
  </si>
  <si>
    <t>R. Wulung</t>
  </si>
  <si>
    <t>KhodutkinskiiI</t>
  </si>
  <si>
    <t>Laguna de Tiscapa</t>
  </si>
  <si>
    <t>Krestovka</t>
  </si>
  <si>
    <t>Oldoinyo Maar</t>
  </si>
  <si>
    <t>Volcanic Apron</t>
  </si>
  <si>
    <t>Oldoinyo Lengai</t>
  </si>
  <si>
    <t>Krugloe</t>
  </si>
  <si>
    <t>9000(?)</t>
  </si>
  <si>
    <t>Temnoe metso</t>
  </si>
  <si>
    <t>Erciyes Dagi</t>
  </si>
  <si>
    <t>farm</t>
  </si>
  <si>
    <t>Mount Erciyes field</t>
  </si>
  <si>
    <t>Gencalioglu-kuscu et al. 2007</t>
  </si>
  <si>
    <t>Nachikinkskii</t>
  </si>
  <si>
    <t>Chasha Maar</t>
  </si>
  <si>
    <t>Tolmachev Dol</t>
  </si>
  <si>
    <t>Unagi</t>
  </si>
  <si>
    <t>Ata</t>
  </si>
  <si>
    <t>Ata caldera</t>
  </si>
  <si>
    <t>5050 BCE</t>
  </si>
  <si>
    <t>Hoya Cintora</t>
  </si>
  <si>
    <t>intraplate</t>
  </si>
  <si>
    <t>&lt;1.175 Ma</t>
  </si>
  <si>
    <t>Puente Solis 2004; Cano-Cruz and Carrasco-Nunez 2008</t>
  </si>
  <si>
    <t>Bunyaruguru</t>
  </si>
  <si>
    <t>Tower Hill Lake</t>
  </si>
  <si>
    <t>Nicholls et al. 1993</t>
  </si>
  <si>
    <t>57 plus lake</t>
  </si>
  <si>
    <t>30 plus lake</t>
  </si>
  <si>
    <t>165 m plus lake</t>
  </si>
  <si>
    <t>Belousov  2006; Arctic DEM</t>
  </si>
  <si>
    <t>10 m plus lake</t>
  </si>
  <si>
    <t>5 m plus lake</t>
  </si>
  <si>
    <t>?</t>
  </si>
  <si>
    <t>Little Hebe (part of Ubehebe)</t>
  </si>
  <si>
    <t>Ubehebe West isolated crater</t>
  </si>
  <si>
    <t>Multiple eruptions</t>
  </si>
  <si>
    <t>Septum</t>
  </si>
  <si>
    <t>Pop 5km</t>
  </si>
  <si>
    <t>Pop 100 km</t>
  </si>
  <si>
    <t>References</t>
  </si>
  <si>
    <t>Kamchatka Volcanic Region</t>
  </si>
  <si>
    <t>Carp Lake</t>
  </si>
  <si>
    <t>Pothole Lake</t>
  </si>
  <si>
    <t xml:space="preserve">Embagi </t>
  </si>
  <si>
    <t>Continental Rift</t>
  </si>
  <si>
    <t>Karapınar Monogenetic Field</t>
  </si>
  <si>
    <t>Aygırgölü</t>
  </si>
  <si>
    <t>Lake/Arid</t>
  </si>
  <si>
    <t>Süphan Dagi-Van Volcano</t>
  </si>
  <si>
    <t>Magallanes</t>
  </si>
  <si>
    <t>Xalapazco Chico</t>
  </si>
  <si>
    <t>Xalapazco Grande</t>
  </si>
  <si>
    <t>Acigol Maar</t>
  </si>
  <si>
    <t>Karapinar Volcanic Field</t>
  </si>
  <si>
    <t>Nemrut Maar 21</t>
  </si>
  <si>
    <t>Comendite and others</t>
  </si>
  <si>
    <t>Ulusoy et al. 2008 and 2012</t>
  </si>
  <si>
    <t>Nemrut Maar 16</t>
  </si>
  <si>
    <t>ddd</t>
  </si>
  <si>
    <t>Hoya Blanca</t>
  </si>
  <si>
    <t>Joyuela Tuff Cone</t>
  </si>
  <si>
    <t>Ubehebe W Chain</t>
  </si>
  <si>
    <t xml:space="preserve">Ubebebe </t>
  </si>
  <si>
    <t>Ulmener</t>
  </si>
  <si>
    <t>Calderia Rasa</t>
  </si>
  <si>
    <t>Çukurada</t>
  </si>
  <si>
    <t>Costo</t>
  </si>
  <si>
    <t>Hoya Alvarez</t>
  </si>
  <si>
    <t>Hoya la Alberca</t>
  </si>
  <si>
    <t>Arid farm</t>
  </si>
  <si>
    <t>Cano-Cruz y Carrasco-Nunez 2008</t>
  </si>
  <si>
    <t>Hoya San Nicolas</t>
  </si>
  <si>
    <t>Hoya Solis</t>
  </si>
  <si>
    <t>Rincon de Paranguero</t>
  </si>
  <si>
    <t>Tangancicuaro</t>
  </si>
  <si>
    <t>Alberca de Tacambaro</t>
  </si>
  <si>
    <t> Michoacan Guanajuato Field</t>
  </si>
  <si>
    <t>Salt Lake</t>
  </si>
  <si>
    <t>Ecuador (Galapagos Islands)</t>
  </si>
  <si>
    <t xml:space="preserve">Lake </t>
  </si>
  <si>
    <t>Laguna de Zapatera</t>
  </si>
  <si>
    <t>Aygir Maar</t>
  </si>
  <si>
    <t>Ara-Shetan maar/Shatan Lake/ Shetan maar</t>
  </si>
  <si>
    <t>Özemir&amp;Güleç2013</t>
  </si>
  <si>
    <t>Kissoba</t>
  </si>
  <si>
    <t>Leat et al. 1989, Sweeney 2018.</t>
  </si>
  <si>
    <t>Ulusoy et a. 2015</t>
  </si>
  <si>
    <t>Shukash Butte/North of Twin Lakes</t>
  </si>
  <si>
    <t>Negros de Aras (El Negrillar)</t>
  </si>
  <si>
    <t xml:space="preserve">El Negrillar Volcanic Field </t>
  </si>
  <si>
    <t>Subduction Zone, continental crust</t>
  </si>
  <si>
    <t>Filipovich et al. 2019</t>
  </si>
  <si>
    <t>Valle de Antofagasta 1</t>
  </si>
  <si>
    <t xml:space="preserve">Yes </t>
  </si>
  <si>
    <t>Puerta de la Laguna/Plan de la laguna</t>
  </si>
  <si>
    <t>San Salvador</t>
  </si>
  <si>
    <t>Subduction zone, Continental crust (&gt;25km</t>
  </si>
  <si>
    <t>Laguna de Chanmico</t>
  </si>
  <si>
    <t>Laguna de Chalchuapan</t>
  </si>
  <si>
    <t>Apastepeque Field</t>
  </si>
  <si>
    <t>Laguna Apastepeque</t>
  </si>
  <si>
    <t>Hoya de Calderas</t>
  </si>
  <si>
    <t>Laguna Seca</t>
  </si>
  <si>
    <t>Ventanita</t>
  </si>
  <si>
    <t>Santa Ursula</t>
  </si>
  <si>
    <t>Arxan-Chaihe</t>
  </si>
  <si>
    <t>Intraplate, Continental crust (&gt;25 km)</t>
  </si>
  <si>
    <t>Tuofengling Lake</t>
  </si>
  <si>
    <t>Andranotelo Crater Lake?</t>
  </si>
  <si>
    <t>Madacascar</t>
  </si>
  <si>
    <t>Itasy Volcanic Field</t>
  </si>
  <si>
    <t>Andranotoraha</t>
  </si>
  <si>
    <t>Lake Tritriva</t>
  </si>
  <si>
    <t>Vakinankaratra</t>
  </si>
  <si>
    <t>Ambalavato Complex</t>
  </si>
  <si>
    <t>Farihy Antanavo 2</t>
  </si>
  <si>
    <t xml:space="preserve">Ambre-Bobaomby </t>
  </si>
  <si>
    <t>Farihy Antanavo</t>
  </si>
  <si>
    <t>Lake Paradise</t>
  </si>
  <si>
    <t>Kenya</t>
  </si>
  <si>
    <t>Marsabit</t>
  </si>
  <si>
    <t>Rift zone, Continental crust (&gt;25 km)</t>
  </si>
  <si>
    <t>Big Lake Paradise</t>
  </si>
  <si>
    <t>Marsabit Maar 1</t>
  </si>
  <si>
    <t>Marsabit Maar 2</t>
  </si>
  <si>
    <t>Marsabit Maar 3</t>
  </si>
  <si>
    <t>Marsabit Maar 4</t>
  </si>
  <si>
    <t>Arid/Lake</t>
  </si>
  <si>
    <t>Marsabit Maar 6</t>
  </si>
  <si>
    <t>Marsabit Maar 7</t>
  </si>
  <si>
    <t>Marsabit Maar 8</t>
  </si>
  <si>
    <t>Marsabit Maar 9</t>
  </si>
  <si>
    <t>Marsabit Maar 11</t>
  </si>
  <si>
    <t>Asie VF Maar 1</t>
  </si>
  <si>
    <t>Asie VF Maar 6</t>
  </si>
  <si>
    <t xml:space="preserve">Asie </t>
  </si>
  <si>
    <t>Asie</t>
  </si>
  <si>
    <t>Yemen</t>
  </si>
  <si>
    <t>Harra of Bal Haf</t>
  </si>
  <si>
    <t>At-Tabâb</t>
  </si>
  <si>
    <t>Harrat Hutaymah</t>
  </si>
  <si>
    <t xml:space="preserve">Harrat Hutaymah Maar </t>
  </si>
  <si>
    <t>Humayyan/Hamrah volcano</t>
  </si>
  <si>
    <t>Moufti et al 2014</t>
  </si>
  <si>
    <t>Gof Barachuma</t>
  </si>
  <si>
    <t>Gof Bongole</t>
  </si>
  <si>
    <t>Gof Boro</t>
  </si>
  <si>
    <t>Gof Hanjale</t>
  </si>
  <si>
    <t>Gof Mude</t>
  </si>
  <si>
    <t>Dakara Crater</t>
  </si>
  <si>
    <t>Gof Kolbo</t>
  </si>
  <si>
    <t>Gof Njale</t>
  </si>
  <si>
    <t>Turqoise Lake Maar</t>
  </si>
  <si>
    <t>Turqoise cone</t>
  </si>
  <si>
    <t>Fisher</t>
  </si>
  <si>
    <t>Fisher Caldera Maar</t>
  </si>
  <si>
    <t>Fisher Caldera Maar 2</t>
  </si>
  <si>
    <t>Shishaldin Maar 2</t>
  </si>
  <si>
    <t xml:space="preserve">Shishaldin Maar </t>
  </si>
  <si>
    <t>Subduction zone, Continental crust (&gt;25km)</t>
  </si>
  <si>
    <t>Viti Helviti</t>
  </si>
  <si>
    <t xml:space="preserve">Viti Krafla </t>
  </si>
  <si>
    <t>Krafla</t>
  </si>
  <si>
    <t>Rift zone, Oceanic Crust (&lt;15 km)</t>
  </si>
  <si>
    <t>Kerid</t>
  </si>
  <si>
    <t>Grimsnes</t>
  </si>
  <si>
    <t>Graenavatn</t>
  </si>
  <si>
    <t>Gestsstadavatn</t>
  </si>
  <si>
    <t>Krysuvík </t>
  </si>
  <si>
    <t>Simcoe Volcanic field</t>
  </si>
  <si>
    <t>Landos</t>
  </si>
  <si>
    <t xml:space="preserve">Li et al. 2020 </t>
  </si>
  <si>
    <t>Marsabit Maar 12</t>
  </si>
  <si>
    <t>Marsabit Maar 13</t>
  </si>
  <si>
    <t>Marsabit Maar 14</t>
  </si>
  <si>
    <t>Marsabit Maar 15</t>
  </si>
  <si>
    <t>Harrat Khaybar</t>
  </si>
  <si>
    <t>Intraplate, Continental crust (&gt; 25 km)</t>
  </si>
  <si>
    <t>Harrat Khaybar Maar 1</t>
  </si>
  <si>
    <t xml:space="preserve">Harrat Khaybar Maar 2 </t>
  </si>
  <si>
    <t>Harrat Khaybar Maar 3</t>
  </si>
  <si>
    <t>Harrat Khaybar Maar 4</t>
  </si>
  <si>
    <t>Harrat Khaybar Maar 5</t>
  </si>
  <si>
    <t>Harrat Khaybar Maar 6</t>
  </si>
  <si>
    <t>Mt Noorat</t>
  </si>
  <si>
    <t>QHA6</t>
  </si>
  <si>
    <t xml:space="preserve">SPC 8 </t>
  </si>
  <si>
    <t>San Pablo Crater 8</t>
  </si>
  <si>
    <t>Subduction zone, Continental crust (&gt; 25km)</t>
  </si>
  <si>
    <t>San Pablo Crater 9</t>
  </si>
  <si>
    <t xml:space="preserve">Intraplate </t>
  </si>
  <si>
    <t>Dalongwon</t>
  </si>
  <si>
    <t>Erlongwan</t>
  </si>
  <si>
    <t xml:space="preserve">Lake Miike </t>
  </si>
  <si>
    <t>Rokkannon-Mi-ike</t>
  </si>
  <si>
    <t>Kirishimayama</t>
  </si>
  <si>
    <t>Kula</t>
  </si>
  <si>
    <t>Leşkeri</t>
  </si>
  <si>
    <t>Oku Volcanic Field</t>
  </si>
  <si>
    <t>Lac Baleng</t>
  </si>
  <si>
    <t>Baleng</t>
  </si>
  <si>
    <t>Kling 1988</t>
  </si>
  <si>
    <t>The Basins Maar 1</t>
  </si>
  <si>
    <t>The Basins Maar 2</t>
  </si>
  <si>
    <t>Harrat Khaybar Maar 8</t>
  </si>
  <si>
    <t>Gura 5</t>
  </si>
  <si>
    <t>Harrat Rahat</t>
  </si>
  <si>
    <t>Gura 2</t>
  </si>
  <si>
    <t>Gura 3</t>
  </si>
  <si>
    <t>Gura 4</t>
  </si>
  <si>
    <t>Harrat Khaybar Maar 9</t>
  </si>
  <si>
    <t>Ljótipollur</t>
  </si>
  <si>
    <t>Bilate River Field Maar 1</t>
  </si>
  <si>
    <t>Kambanguguru</t>
  </si>
  <si>
    <t>Lake/Vegetated</t>
  </si>
  <si>
    <t>Kyungululu</t>
  </si>
  <si>
    <t>Mosonik Lake Natron</t>
  </si>
  <si>
    <t>Kisite</t>
  </si>
  <si>
    <t xml:space="preserve">Lake Kitagata </t>
  </si>
  <si>
    <t>Lake Katwe-Kikorongo</t>
  </si>
  <si>
    <t>Natukunda 2012</t>
  </si>
  <si>
    <t>Lake Katawe</t>
  </si>
  <si>
    <t>Lake Rwenyange</t>
  </si>
  <si>
    <t>Katanda</t>
  </si>
  <si>
    <t>Kyatwa</t>
  </si>
  <si>
    <t xml:space="preserve">Kerere </t>
  </si>
  <si>
    <t>Wankenzi</t>
  </si>
  <si>
    <t>Kyatwa volcanic field</t>
  </si>
  <si>
    <t>Chema</t>
  </si>
  <si>
    <t>Lake/vegetated</t>
  </si>
  <si>
    <t>Maseche</t>
  </si>
  <si>
    <t>Bunyampaka</t>
  </si>
  <si>
    <t>Mbugo</t>
  </si>
  <si>
    <t>Chibwera</t>
  </si>
  <si>
    <t>Nshenyi</t>
  </si>
  <si>
    <t>Bunyaruguru 1</t>
  </si>
  <si>
    <t>Bunyaruguru 2</t>
  </si>
  <si>
    <t>Bunyaruguru 3</t>
  </si>
  <si>
    <t xml:space="preserve">Bunyaruguru 4 </t>
  </si>
  <si>
    <t>Bunyaruguru 5</t>
  </si>
  <si>
    <t>Bunyaruguru 6</t>
  </si>
  <si>
    <t>Murabio</t>
  </si>
  <si>
    <t>Katwe-Kikorongo 1</t>
  </si>
  <si>
    <t>Katwe-Kikorongo 2</t>
  </si>
  <si>
    <t>Kyatwa 1</t>
  </si>
  <si>
    <t>Kyatwa 5</t>
  </si>
  <si>
    <t>Kyatwa 16</t>
  </si>
  <si>
    <t>Mbajo</t>
  </si>
  <si>
    <t>Kyegere</t>
  </si>
  <si>
    <t>Fort Portal</t>
  </si>
  <si>
    <t>Kyaninga</t>
  </si>
  <si>
    <t>Subduction zone (Continental crust &gt;25 km)</t>
  </si>
  <si>
    <t>Sal Maar</t>
  </si>
  <si>
    <t>Cape Verde</t>
  </si>
  <si>
    <t>Arid/Mine</t>
  </si>
  <si>
    <t>Hot Spot</t>
  </si>
  <si>
    <t>Cape Verde Islands</t>
  </si>
  <si>
    <t>Sokno Lake Mt. Taylor</t>
  </si>
  <si>
    <t>Dzani Boundouni</t>
  </si>
  <si>
    <t>Comoros</t>
  </si>
  <si>
    <t>Moheli Island</t>
  </si>
  <si>
    <t>Intraplate, Oceanic crust (&lt;15 Km)</t>
  </si>
  <si>
    <t xml:space="preserve">Subduction zone, Continental crust (&gt; 25km) </t>
  </si>
  <si>
    <t>Butajira Maar 1</t>
  </si>
  <si>
    <t xml:space="preserve">Continental Rift </t>
  </si>
  <si>
    <t>Nemrut Dagi</t>
  </si>
  <si>
    <t>Pomposiello et al. 1991</t>
  </si>
  <si>
    <t>Flores Island</t>
  </si>
  <si>
    <t>Santiago Island</t>
  </si>
  <si>
    <t>Butajira Volcanic Field/Butajiri-Silti Field</t>
  </si>
  <si>
    <t>Zapatera</t>
  </si>
  <si>
    <t>Antofagasta Volcanic Field</t>
  </si>
  <si>
    <t>Subduction zone, Continenal Crust</t>
  </si>
  <si>
    <t>Laguna Loma Caldera / Joya de Ceren</t>
  </si>
  <si>
    <t>Itasy Volcanic Field Maar 2</t>
  </si>
  <si>
    <t>Itasy Volcanic Field Maar 1</t>
  </si>
  <si>
    <t>Itasy Volcanic Field Maar 4</t>
  </si>
  <si>
    <t xml:space="preserve">Itasy Volcanic Field </t>
  </si>
  <si>
    <t>Bout 1975</t>
  </si>
  <si>
    <t xml:space="preserve">GVP; Förster 2016 </t>
  </si>
  <si>
    <t>Blaikie et al. 2012; 2015</t>
  </si>
  <si>
    <t xml:space="preserve">Small Volcano Field </t>
  </si>
  <si>
    <t xml:space="preserve"> Şen et al 2014</t>
  </si>
  <si>
    <t>Ulslular 2015; Ulslular &amp; Gençalioğlu-Kuşcu 2019</t>
  </si>
  <si>
    <t>Boyce et al. 2013; Matchan et al 2018; GVP</t>
  </si>
  <si>
    <t>79.7 ± 1.6 ka</t>
  </si>
  <si>
    <t>84.3 ± 1.6 ka</t>
  </si>
  <si>
    <t>Rift Zone</t>
  </si>
  <si>
    <t>Torfajokull</t>
  </si>
  <si>
    <t>Lake Tilo / T'ido Hayk</t>
  </si>
  <si>
    <t>Telford et al. 1999; GVP</t>
  </si>
  <si>
    <t>Ollier 1967</t>
  </si>
  <si>
    <t xml:space="preserve">Garcin et al. 2006; </t>
  </si>
  <si>
    <t>Delalande 2008</t>
  </si>
  <si>
    <t>GVP; Natukunda 2012</t>
  </si>
  <si>
    <t>Natukunda 2012; Isabirye 2020</t>
  </si>
  <si>
    <t>De Crop &amp; Verschuren 2019</t>
  </si>
  <si>
    <t>Maturo</t>
  </si>
  <si>
    <t>Nankabirwa et al 2019</t>
  </si>
  <si>
    <t>Kamweru</t>
  </si>
  <si>
    <t>Kanyamukali</t>
  </si>
  <si>
    <t>Kitere</t>
  </si>
  <si>
    <t>Lake Kyanga</t>
  </si>
  <si>
    <t>De Crop &amp; Verschuren 2019; Nankabirwa et al. 2019</t>
  </si>
  <si>
    <t>Nankabirwa et al. 2019</t>
  </si>
  <si>
    <t xml:space="preserve">Rumes et al 2011; </t>
  </si>
  <si>
    <t>Rumes 2011; De Crop &amp; Verschuren 2019</t>
  </si>
  <si>
    <t>Rwenjuba</t>
  </si>
  <si>
    <t>Ntambi</t>
  </si>
  <si>
    <t>Kanyabutetere</t>
  </si>
  <si>
    <t>Nyamugoro</t>
  </si>
  <si>
    <t>Kasirya</t>
  </si>
  <si>
    <t>Kamunzuka</t>
  </si>
  <si>
    <t>Kariya</t>
  </si>
  <si>
    <t xml:space="preserve">Bugwagi </t>
  </si>
  <si>
    <t>Toulier et al 2019; GVP</t>
  </si>
  <si>
    <t>Lake/Urban</t>
  </si>
  <si>
    <t>Ranu Klindugan / Tengger Caldera</t>
  </si>
  <si>
    <t>Peinado</t>
  </si>
  <si>
    <t>Fuentillejo</t>
  </si>
  <si>
    <t>Calatrava Volcanic field</t>
  </si>
  <si>
    <t>La Posadilla</t>
  </si>
  <si>
    <t>Vegas et al. 2006; Martin-Serrano et al. 2009; Poblete et al 2013;</t>
  </si>
  <si>
    <t>Cova de Paul</t>
  </si>
  <si>
    <t>Tarff &amp; Day 2013</t>
  </si>
  <si>
    <t>Intraplate, Intermediate crust (15-25 km)</t>
  </si>
  <si>
    <t>Nougier et al. 1986</t>
  </si>
  <si>
    <t>Moheli Island Maar 1</t>
  </si>
  <si>
    <t>Lagusiello</t>
  </si>
  <si>
    <t>Monterosi</t>
  </si>
  <si>
    <t>158 +/- 4 ka</t>
  </si>
  <si>
    <t>&lt;150 ± 4 ka; &lt;134 ± 33 ka</t>
  </si>
  <si>
    <t>95 +/- 5 ka; 89 +/- 29 ka</t>
  </si>
  <si>
    <t>Piana dei Falliti</t>
  </si>
  <si>
    <t>89 +/- 12 ka</t>
  </si>
  <si>
    <t>Sotilli et al. 2012 ;GVP</t>
  </si>
  <si>
    <t>235 (lake)</t>
  </si>
  <si>
    <t>Potrillo Volcanic Field</t>
  </si>
  <si>
    <t>Earth Point Topo; Crumpler &amp; Lucas 2001; GVP</t>
  </si>
  <si>
    <t>624000 +/- 47000</t>
  </si>
  <si>
    <t>Subduction Zone, Continental Crust (&gt; 25 km)</t>
  </si>
  <si>
    <t>Lago Bismarck</t>
  </si>
  <si>
    <t>Laguna Bismark</t>
  </si>
  <si>
    <t>Zolitchka et al 2006; GVP</t>
  </si>
  <si>
    <t>Lac Vert</t>
  </si>
  <si>
    <t xml:space="preserve">Green Lake </t>
  </si>
  <si>
    <t>Democratic Republic of Congo</t>
  </si>
  <si>
    <t>Virunga Volcanic Province</t>
  </si>
  <si>
    <t>Poppe et al. 2016;</t>
  </si>
  <si>
    <t>Kyejo</t>
  </si>
  <si>
    <t>Ranu Lamongan</t>
  </si>
  <si>
    <t xml:space="preserve">Ranu Agong </t>
  </si>
  <si>
    <t>SPC 9</t>
  </si>
  <si>
    <t xml:space="preserve">Kutören </t>
  </si>
  <si>
    <t>Flamenco</t>
  </si>
  <si>
    <t>Lake / Arid</t>
  </si>
  <si>
    <t xml:space="preserve">Coronato et al 2013; </t>
  </si>
  <si>
    <t>Bagusa</t>
  </si>
  <si>
    <t>Crater Pan</t>
  </si>
  <si>
    <t>Laguna Asososca (Asososca North)</t>
  </si>
  <si>
    <t xml:space="preserve">Ticomo </t>
  </si>
  <si>
    <t xml:space="preserve">R. Semungka </t>
  </si>
  <si>
    <t>Pardo et al. 2008; Frundt et al. 2009</t>
  </si>
  <si>
    <t>Azevedo and Ferreira 2006</t>
  </si>
  <si>
    <t>Swanson et al. 1974</t>
  </si>
  <si>
    <t>VOLADA</t>
  </si>
  <si>
    <t>Moufti and Nemeth 2014; El-Gameel et al. 2020</t>
  </si>
  <si>
    <t>Sal Island, Cape Verde Islands</t>
  </si>
  <si>
    <t>Torres et al. 2010</t>
  </si>
  <si>
    <t>Santiago Island, Galapagos</t>
  </si>
  <si>
    <t>Chambagunguru</t>
  </si>
  <si>
    <t>Fontijn 2010;</t>
  </si>
  <si>
    <t>Garcin et al 2006</t>
  </si>
  <si>
    <t>Oukcem</t>
  </si>
  <si>
    <t>Algeria</t>
  </si>
  <si>
    <t>Manzaz Volcanic Field</t>
  </si>
  <si>
    <t>Keller 1974</t>
  </si>
  <si>
    <t>Alaska DEM,  Begét et al. 2003</t>
  </si>
  <si>
    <t>Peinado Volcanic Field</t>
  </si>
  <si>
    <t>Pasto Ventura Region</t>
  </si>
  <si>
    <t>PV 20</t>
  </si>
  <si>
    <t>PV 9</t>
  </si>
  <si>
    <t>GVP; Artic DEM</t>
  </si>
  <si>
    <t>Gudmundsson 1995; Artic DEM; GVP</t>
  </si>
  <si>
    <t>Fisher and Waters 1970; Crowe and Fisher 1973; Wood and Kienle 1991</t>
  </si>
  <si>
    <t>Pali Aike Maar 2</t>
  </si>
  <si>
    <t>Pali Aike Maar 3</t>
  </si>
  <si>
    <t>Serdan Oriental 7</t>
  </si>
  <si>
    <t>Moufti &amp; Nemeth 2013</t>
  </si>
  <si>
    <t>Chitu Maar</t>
  </si>
  <si>
    <t>Hora Chitu</t>
  </si>
  <si>
    <t>Mohr et al. 1980; GVP</t>
  </si>
  <si>
    <t>Grosse et al. 2020</t>
  </si>
  <si>
    <t>Peinado VF 1</t>
  </si>
  <si>
    <t>Peinado VF 2</t>
  </si>
  <si>
    <t>Peinado VF 3</t>
  </si>
  <si>
    <t>Puntas Negras</t>
  </si>
  <si>
    <t>Cordon de Puntas Negras</t>
  </si>
  <si>
    <t>Subduction Zone, Continental Crust (&gt;25 km)</t>
  </si>
  <si>
    <t>Ureta et al. 2020; GVP</t>
  </si>
  <si>
    <t>&lt;12ka</t>
  </si>
  <si>
    <t>1977 AD</t>
  </si>
  <si>
    <t>2.1-2.3 ka</t>
  </si>
  <si>
    <t>&gt;80000</t>
  </si>
  <si>
    <t>Kshirsagar et al. 2015; 2016</t>
  </si>
  <si>
    <t>Alberca de Guadalupe</t>
  </si>
  <si>
    <t>Siebe et al. 2014 Field Guide; Kshirsagar et al. 2015; 2016</t>
  </si>
  <si>
    <t>&lt;1.52 Ma</t>
  </si>
  <si>
    <t xml:space="preserve">Ureta et al. 2020; </t>
  </si>
  <si>
    <t>0.379 ± 0.024</t>
  </si>
  <si>
    <t>Quaternary (&lt; 1.8 +/- .05 Ma)</t>
  </si>
  <si>
    <t>Lorenz 1986; GVP; Artic DEM</t>
  </si>
  <si>
    <t>93.8 ± 2.1 ka</t>
  </si>
  <si>
    <t>142.4 ± 2.2 ka</t>
  </si>
  <si>
    <t>Cora</t>
  </si>
  <si>
    <t>Lagoa do Canario</t>
  </si>
  <si>
    <t>Dichi Lake</t>
  </si>
  <si>
    <t>Mosbrucher</t>
  </si>
  <si>
    <t>Mosbrucher Weiher</t>
  </si>
  <si>
    <t>Le Cese</t>
  </si>
  <si>
    <t>Rumes et al. 2011; GVP</t>
  </si>
  <si>
    <t>Rumes et al. 2011; Nankabirwa et al 2019; GVP</t>
  </si>
  <si>
    <t>Mills 2009; Rumes et al. 2011; GVP</t>
  </si>
  <si>
    <t>Rumes et al. 2011; De Crop &amp; Verschuren 2019; GVP</t>
  </si>
  <si>
    <t>Rumes et al. 2011; Ssemmanda et al. 2014; Nankabirwa et al 2019; GVP</t>
  </si>
  <si>
    <t>Emi Koussi 1</t>
  </si>
  <si>
    <t>Chad</t>
  </si>
  <si>
    <t>Intraplate, Continental Crust</t>
  </si>
  <si>
    <t>Emi Koussi</t>
  </si>
  <si>
    <t>Begour</t>
  </si>
  <si>
    <t>Tarso Toh</t>
  </si>
  <si>
    <t>8300 +/- 300 B.P.</t>
  </si>
  <si>
    <t>Meidob VF 1</t>
  </si>
  <si>
    <t>Meidob Volcanic Field</t>
  </si>
  <si>
    <t>Meidob VF 2</t>
  </si>
  <si>
    <t>Malha Maar</t>
  </si>
  <si>
    <t>Meidob VF 3</t>
  </si>
  <si>
    <t>Meidob VF 5</t>
  </si>
  <si>
    <t>Sudan</t>
  </si>
  <si>
    <t>Meidob VF 6</t>
  </si>
  <si>
    <t>Franz et al. 1997; Lucassen et al. 2013; GVP</t>
  </si>
  <si>
    <t>Franz et al. 1997; GVP</t>
  </si>
  <si>
    <t>Basaltic</t>
  </si>
  <si>
    <t>between 210 and 10 ka</t>
  </si>
  <si>
    <t>Phonolitic to trachytic</t>
  </si>
  <si>
    <t>Pleistocene (1 Ma to 5 ka)</t>
  </si>
  <si>
    <t>Doon Kidimi</t>
  </si>
  <si>
    <t>Tarso Toussidé</t>
  </si>
  <si>
    <t>Hosh Ea Dalam</t>
  </si>
  <si>
    <t>Bayuda Volcanic Field</t>
  </si>
  <si>
    <t>Lenhardt et al. 2018</t>
  </si>
  <si>
    <t>Bayuda VF 5</t>
  </si>
  <si>
    <t>Segererua Plateau 1</t>
  </si>
  <si>
    <t>Segererua Plateau</t>
  </si>
  <si>
    <t>Segererua Plateau 2</t>
  </si>
  <si>
    <t>Segererua Plateau 3</t>
  </si>
  <si>
    <t>Segererua Plateau 4</t>
  </si>
  <si>
    <t xml:space="preserve">Fracture zone on stratovolcano in a subduction zone </t>
  </si>
  <si>
    <t>Shuangchiling Maar</t>
  </si>
  <si>
    <t>Luojingpan</t>
  </si>
  <si>
    <t>Hainan Volcanic Field</t>
  </si>
  <si>
    <t>Shuangchi Maar</t>
  </si>
  <si>
    <t>Huguangyan Maar Lake</t>
  </si>
  <si>
    <t xml:space="preserve">Leizhou Bandao </t>
  </si>
  <si>
    <t xml:space="preserve">Sheng et al. 2017; </t>
  </si>
  <si>
    <t>Lake Twintaung</t>
  </si>
  <si>
    <t>Burmya (Myanmar)</t>
  </si>
  <si>
    <t>Sun et al. 2016B; GVP</t>
  </si>
  <si>
    <t>Early Quaternary</t>
  </si>
  <si>
    <t>Maximum deep depth 50m</t>
  </si>
  <si>
    <t>Lower Chindwin</t>
  </si>
  <si>
    <t>Basalt (basanite?)</t>
  </si>
  <si>
    <t>basalts to alkali basalt</t>
  </si>
  <si>
    <t>Basalts to alkali basalt</t>
  </si>
  <si>
    <t>Rift Basin</t>
  </si>
  <si>
    <t>Mahiga/George</t>
  </si>
  <si>
    <t>Tahalra Volcanic Field</t>
  </si>
  <si>
    <t>Tahalra 2</t>
  </si>
  <si>
    <t>Dautria et al 1988; GVP</t>
  </si>
  <si>
    <t xml:space="preserve">Pleistocene </t>
  </si>
  <si>
    <t>Kebede 2013;</t>
  </si>
  <si>
    <t>Lake Tirba</t>
  </si>
  <si>
    <t>Lake Zegenda</t>
  </si>
  <si>
    <t>Bate Ye'Isate Gemora Af</t>
  </si>
  <si>
    <t>Kolchaka</t>
  </si>
  <si>
    <t>Mega Basalt Field</t>
  </si>
  <si>
    <t>Pleistocene</t>
  </si>
  <si>
    <t>Gof Dukana</t>
  </si>
  <si>
    <t>Dilo Ye’Isate Gemora Af</t>
  </si>
  <si>
    <t xml:space="preserve">Holocene </t>
  </si>
  <si>
    <t>Mega Basalt Field 2</t>
  </si>
  <si>
    <t>Mega Basalt Field 3</t>
  </si>
  <si>
    <t>Orlando et al. 2006</t>
  </si>
  <si>
    <t>&gt; 400 m</t>
  </si>
  <si>
    <t>Orlando et al. 2006; GVP</t>
  </si>
  <si>
    <t>Djey Sey</t>
  </si>
  <si>
    <t>Manengouba Volcanic Complex</t>
  </si>
  <si>
    <t>Basanite - hawaiite</t>
  </si>
  <si>
    <t>Lac de la femme</t>
  </si>
  <si>
    <t xml:space="preserve"> Pouclet et al. 2014; GVP</t>
  </si>
  <si>
    <t>Lac de l'homme</t>
  </si>
  <si>
    <t>Twin Ywa Lake</t>
  </si>
  <si>
    <t>Lower Chindwin 1</t>
  </si>
  <si>
    <t>Lower Chindwin 2</t>
  </si>
  <si>
    <t>Lake / Farm</t>
  </si>
  <si>
    <t>0.5 - 0.1 Ma</t>
  </si>
  <si>
    <t>0.5 - -.1 Ma</t>
  </si>
  <si>
    <t>Dilo-Dukana Volcanic Field</t>
  </si>
  <si>
    <t>Dilo-Dukana VF 1</t>
  </si>
  <si>
    <t>Dilo-Dukana VF 2</t>
  </si>
  <si>
    <t>Dilo-Dukana VF 3</t>
  </si>
  <si>
    <t>El Sod</t>
  </si>
  <si>
    <t>Mega Basalt Field 4</t>
  </si>
  <si>
    <t>Mega Basalt Field 5</t>
  </si>
  <si>
    <t>Sun et al. 2016; GVP</t>
  </si>
  <si>
    <t>Dodson et al. 2019; GVP</t>
  </si>
  <si>
    <t>Benhallou et al. 2016; GVP</t>
  </si>
  <si>
    <t>Rumes 2011;</t>
  </si>
  <si>
    <t>Moufti &amp; Nemeth 2013; Stelten et al 2020</t>
  </si>
  <si>
    <t>Mingram et al. 2004;</t>
  </si>
  <si>
    <t xml:space="preserve">Moufti et al 2014; </t>
  </si>
  <si>
    <t>Key et al. 1987</t>
  </si>
  <si>
    <t>Rufer et al. 2014; Raharimahefa &amp; Rasoazanamparany 2018; GVP</t>
  </si>
  <si>
    <t>2650 +/- 50 BP</t>
  </si>
  <si>
    <t>590 +/- 90 AD</t>
  </si>
  <si>
    <t>Ferrés et al 2011; Lexa et al 2011; GVP</t>
  </si>
  <si>
    <t xml:space="preserve">Kievit 1994; Ferrés et al 2011; </t>
  </si>
  <si>
    <t>Ferrés et al 2013; GVP</t>
  </si>
  <si>
    <t>Hunt et al. 2020</t>
  </si>
  <si>
    <t>Hildreth et al. 2015</t>
  </si>
  <si>
    <t xml:space="preserve">Artic DEM; MacDonald et al. 1990; </t>
  </si>
  <si>
    <t xml:space="preserve">Boyce et al. 2013; </t>
  </si>
  <si>
    <t>Updated since MaarVLS 1.0</t>
  </si>
  <si>
    <t>High resolution imagery used to improve size</t>
  </si>
  <si>
    <t>Name updated</t>
  </si>
  <si>
    <t>Improved outline</t>
  </si>
  <si>
    <t>Updated minor D</t>
  </si>
  <si>
    <t>Joya Honda</t>
  </si>
  <si>
    <t xml:space="preserve">Xiola </t>
  </si>
  <si>
    <t>updated minor D</t>
  </si>
  <si>
    <t>Updated outline</t>
  </si>
  <si>
    <t xml:space="preserve">R. Tangke </t>
  </si>
  <si>
    <t>Updated name</t>
  </si>
  <si>
    <t xml:space="preserve">Hoya de Estrada </t>
  </si>
  <si>
    <t>Updated measurements</t>
  </si>
  <si>
    <t xml:space="preserve">Ranu Grati Lake </t>
  </si>
  <si>
    <t xml:space="preserve">Brucknel Swamp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</si>
</sst>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E+00"/>
    <numFmt numFmtId="165" formatCode="0.00000"/>
    <numFmt numFmtId="166" formatCode="0.000000"/>
    <numFmt numFmtId="167" formatCode="#,##0.0000000"/>
    <numFmt numFmtId="168" formatCode="0.0000000"/>
    <numFmt numFmtId="169" formatCode="#,##0.000"/>
    <numFmt numFmtId="170" formatCode="0.0"/>
  </numFmts>
  <fonts count="21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1"/>
      <color rgb="FF252525"/>
      <name val="Arial"/>
      <family val="2"/>
    </font>
    <font>
      <sz val="8"/>
      <name val="Calibri"/>
      <family val="2"/>
      <charset val="134"/>
      <scheme val="minor"/>
    </font>
    <font>
      <u/>
      <sz val="11"/>
      <color theme="10"/>
      <name val="Calibri"/>
      <family val="2"/>
      <charset val="134"/>
      <scheme val="minor"/>
    </font>
    <font>
      <sz val="12"/>
      <color theme="1"/>
      <name val="Arial"/>
      <family val="2"/>
    </font>
    <font>
      <sz val="12"/>
      <color theme="1" tint="4.9989318521683403E-2"/>
      <name val="Arial"/>
      <family val="2"/>
    </font>
    <font>
      <sz val="12"/>
      <color theme="1"/>
      <name val="Calibri"/>
      <family val="2"/>
      <charset val="134"/>
      <scheme val="minor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252525"/>
      <name val="Arial"/>
      <family val="2"/>
    </font>
    <font>
      <sz val="12"/>
      <color rgb="FF201F1E"/>
      <name val="Arial"/>
      <family val="2"/>
    </font>
    <font>
      <sz val="12"/>
      <color rgb="FF625647"/>
      <name val="Arial"/>
      <family val="2"/>
    </font>
    <font>
      <sz val="12"/>
      <color rgb="FF222426"/>
      <name val="Arial"/>
      <family val="2"/>
    </font>
    <font>
      <u/>
      <sz val="12"/>
      <color theme="10"/>
      <name val="Arial"/>
      <family val="2"/>
    </font>
    <font>
      <i/>
      <sz val="12"/>
      <color rgb="FF202122"/>
      <name val="Arial"/>
      <family val="2"/>
    </font>
    <font>
      <sz val="12"/>
      <color rgb="FF202124"/>
      <name val="Arial"/>
      <family val="2"/>
    </font>
    <font>
      <sz val="12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67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2" fontId="7" fillId="0" borderId="0" xfId="0" applyNumberFormat="1" applyFont="1"/>
    <xf numFmtId="0" fontId="10" fillId="0" borderId="0" xfId="0" applyFont="1"/>
    <xf numFmtId="0" fontId="10" fillId="0" borderId="0" xfId="0" applyFont="1" applyAlignment="1">
      <alignment wrapText="1"/>
    </xf>
    <xf numFmtId="2" fontId="10" fillId="0" borderId="0" xfId="0" applyNumberFormat="1" applyFont="1" applyAlignment="1">
      <alignment wrapText="1"/>
    </xf>
    <xf numFmtId="164" fontId="10" fillId="0" borderId="0" xfId="0" applyNumberFormat="1" applyFont="1"/>
    <xf numFmtId="0" fontId="11" fillId="0" borderId="0" xfId="0" applyFont="1"/>
    <xf numFmtId="4" fontId="11" fillId="0" borderId="0" xfId="0" applyNumberFormat="1" applyFont="1"/>
    <xf numFmtId="165" fontId="11" fillId="0" borderId="0" xfId="0" applyNumberFormat="1" applyFont="1"/>
    <xf numFmtId="166" fontId="11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0" xfId="1" applyFont="1"/>
    <xf numFmtId="164" fontId="7" fillId="0" borderId="0" xfId="0" applyNumberFormat="1" applyFont="1"/>
    <xf numFmtId="165" fontId="7" fillId="0" borderId="0" xfId="0" applyNumberFormat="1" applyFont="1"/>
    <xf numFmtId="16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wrapText="1"/>
    </xf>
    <xf numFmtId="166" fontId="11" fillId="0" borderId="0" xfId="0" applyNumberFormat="1" applyFont="1" applyAlignment="1">
      <alignment horizontal="right"/>
    </xf>
    <xf numFmtId="0" fontId="12" fillId="0" borderId="0" xfId="0" applyFont="1"/>
    <xf numFmtId="166" fontId="11" fillId="0" borderId="0" xfId="0" applyNumberFormat="1" applyFont="1" applyAlignment="1">
      <alignment horizontal="right" vertical="top"/>
    </xf>
    <xf numFmtId="0" fontId="13" fillId="0" borderId="0" xfId="0" applyFont="1"/>
    <xf numFmtId="168" fontId="11" fillId="0" borderId="0" xfId="0" applyNumberFormat="1" applyFont="1"/>
    <xf numFmtId="0" fontId="7" fillId="0" borderId="0" xfId="0" applyFont="1" applyFill="1"/>
    <xf numFmtId="0" fontId="7" fillId="0" borderId="0" xfId="2" applyFont="1"/>
    <xf numFmtId="4" fontId="7" fillId="0" borderId="0" xfId="2" applyNumberFormat="1" applyFont="1"/>
    <xf numFmtId="165" fontId="7" fillId="0" borderId="0" xfId="2" applyNumberFormat="1" applyFont="1"/>
    <xf numFmtId="166" fontId="7" fillId="0" borderId="0" xfId="2" applyNumberFormat="1" applyFont="1" applyAlignment="1">
      <alignment horizontal="right"/>
    </xf>
    <xf numFmtId="0" fontId="14" fillId="0" borderId="0" xfId="0" applyFont="1"/>
    <xf numFmtId="1" fontId="7" fillId="0" borderId="0" xfId="0" applyNumberFormat="1" applyFont="1"/>
    <xf numFmtId="164" fontId="15" fillId="0" borderId="0" xfId="0" applyNumberFormat="1" applyFont="1"/>
    <xf numFmtId="166" fontId="7" fillId="0" borderId="0" xfId="0" applyNumberFormat="1" applyFont="1"/>
    <xf numFmtId="0" fontId="12" fillId="0" borderId="0" xfId="0" applyFont="1" applyFill="1"/>
    <xf numFmtId="0" fontId="11" fillId="2" borderId="0" xfId="0" applyFont="1" applyFill="1" applyAlignment="1">
      <alignment horizontal="right" vertical="top"/>
    </xf>
    <xf numFmtId="4" fontId="7" fillId="0" borderId="0" xfId="0" applyNumberFormat="1" applyFont="1"/>
    <xf numFmtId="166" fontId="7" fillId="0" borderId="0" xfId="0" applyNumberFormat="1" applyFont="1" applyAlignment="1">
      <alignment horizontal="right"/>
    </xf>
    <xf numFmtId="167" fontId="11" fillId="0" borderId="0" xfId="0" applyNumberFormat="1" applyFont="1"/>
    <xf numFmtId="0" fontId="11" fillId="0" borderId="0" xfId="0" applyFont="1" applyAlignment="1">
      <alignment horizontal="right"/>
    </xf>
    <xf numFmtId="2" fontId="12" fillId="0" borderId="0" xfId="0" applyNumberFormat="1" applyFont="1"/>
    <xf numFmtId="0" fontId="11" fillId="0" borderId="0" xfId="0" applyFont="1" applyFill="1"/>
    <xf numFmtId="2" fontId="7" fillId="0" borderId="0" xfId="0" applyNumberFormat="1" applyFont="1" applyFill="1"/>
    <xf numFmtId="0" fontId="7" fillId="0" borderId="0" xfId="1" applyFont="1" applyFill="1"/>
    <xf numFmtId="164" fontId="7" fillId="0" borderId="0" xfId="0" applyNumberFormat="1" applyFont="1" applyFill="1"/>
    <xf numFmtId="0" fontId="7" fillId="0" borderId="0" xfId="0" applyFont="1" applyFill="1" applyAlignment="1">
      <alignment wrapText="1"/>
    </xf>
    <xf numFmtId="3" fontId="7" fillId="0" borderId="0" xfId="0" applyNumberFormat="1" applyFont="1"/>
    <xf numFmtId="0" fontId="16" fillId="0" borderId="0" xfId="0" applyFont="1" applyFill="1"/>
    <xf numFmtId="2" fontId="7" fillId="0" borderId="0" xfId="3" applyNumberFormat="1" applyFont="1"/>
    <xf numFmtId="0" fontId="11" fillId="0" borderId="0" xfId="0" applyFont="1" applyAlignment="1">
      <alignment horizontal="right" vertical="top"/>
    </xf>
    <xf numFmtId="169" fontId="7" fillId="0" borderId="0" xfId="0" applyNumberFormat="1" applyFont="1"/>
    <xf numFmtId="170" fontId="7" fillId="0" borderId="0" xfId="0" applyNumberFormat="1" applyFont="1"/>
    <xf numFmtId="3" fontId="7" fillId="0" borderId="0" xfId="0" applyNumberFormat="1" applyFont="1" applyFill="1"/>
    <xf numFmtId="16" fontId="7" fillId="0" borderId="0" xfId="0" applyNumberFormat="1" applyFont="1"/>
    <xf numFmtId="0" fontId="12" fillId="0" borderId="0" xfId="0" applyFont="1" applyFill="1" applyBorder="1"/>
    <xf numFmtId="0" fontId="7" fillId="0" borderId="0" xfId="0" applyFont="1" applyBorder="1" applyAlignment="1"/>
    <xf numFmtId="0" fontId="12" fillId="0" borderId="0" xfId="0" applyFont="1" applyBorder="1" applyAlignment="1">
      <alignment wrapText="1"/>
    </xf>
    <xf numFmtId="0" fontId="17" fillId="0" borderId="0" xfId="4" applyFont="1" applyFill="1"/>
    <xf numFmtId="0" fontId="11" fillId="0" borderId="0" xfId="0" applyFont="1" applyFill="1" applyAlignment="1">
      <alignment horizontal="right" vertical="center" wrapText="1"/>
    </xf>
    <xf numFmtId="0" fontId="18" fillId="0" borderId="0" xfId="0" applyFont="1"/>
    <xf numFmtId="0" fontId="11" fillId="2" borderId="0" xfId="0" applyFont="1" applyFill="1" applyAlignment="1"/>
    <xf numFmtId="0" fontId="11" fillId="0" borderId="0" xfId="0" applyFont="1" applyFill="1" applyBorder="1"/>
    <xf numFmtId="0" fontId="11" fillId="0" borderId="0" xfId="0" applyFont="1" applyFill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/>
    <xf numFmtId="0" fontId="7" fillId="0" borderId="0" xfId="0" applyFont="1" applyAlignment="1"/>
    <xf numFmtId="0" fontId="14" fillId="0" borderId="0" xfId="0" applyFont="1" applyFill="1"/>
    <xf numFmtId="0" fontId="7" fillId="0" borderId="0" xfId="2" applyFont="1" applyFill="1"/>
  </cellXfs>
  <cellStyles count="6">
    <cellStyle name="Hyperlink" xfId="4" builtinId="8"/>
    <cellStyle name="Normal" xfId="0" builtinId="0"/>
    <cellStyle name="Normal 2" xfId="1" xr:uid="{00000000-0005-0000-0000-000001000000}"/>
    <cellStyle name="Normal 2 2" xfId="5" xr:uid="{570D3F6B-6021-43B8-BAC6-AB68DE11DF3F}"/>
    <cellStyle name="Percent" xfId="3" builtinId="5"/>
    <cellStyle name="常规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456"/>
  <sheetViews>
    <sheetView tabSelected="1" zoomScale="70" zoomScaleNormal="70" workbookViewId="0">
      <pane xSplit="5460" ySplit="405" topLeftCell="AB148" activePane="bottomRight"/>
      <selection activeCell="C241" sqref="C241"/>
      <selection pane="topRight" activeCell="AF2" sqref="AF2"/>
      <selection pane="bottomLeft" activeCell="A415" sqref="A415"/>
      <selection pane="bottomRight" activeCell="AF416" sqref="AF416"/>
    </sheetView>
  </sheetViews>
  <sheetFormatPr defaultColWidth="8.85546875" defaultRowHeight="15"/>
  <cols>
    <col min="1" max="1" width="37.140625" style="1" bestFit="1" customWidth="1"/>
    <col min="2" max="3" width="22.42578125" style="1" customWidth="1"/>
    <col min="4" max="4" width="15.42578125" style="1" bestFit="1" customWidth="1"/>
    <col min="5" max="5" width="9.7109375" style="1" customWidth="1"/>
    <col min="6" max="7" width="14.42578125" style="1" customWidth="1"/>
    <col min="8" max="8" width="17.5703125" style="1" bestFit="1" customWidth="1"/>
    <col min="9" max="9" width="30.28515625" style="1" bestFit="1" customWidth="1"/>
    <col min="10" max="10" width="15.140625" style="1" customWidth="1"/>
    <col min="11" max="11" width="12.28515625" style="1" customWidth="1"/>
    <col min="12" max="13" width="12.7109375" style="1" customWidth="1"/>
    <col min="14" max="14" width="14.140625" style="4" customWidth="1"/>
    <col min="15" max="15" width="10.85546875" style="4" customWidth="1"/>
    <col min="16" max="16" width="24.5703125" style="4" bestFit="1" customWidth="1"/>
    <col min="17" max="20" width="24.7109375" style="1" customWidth="1"/>
    <col min="21" max="21" width="21.28515625" style="1" customWidth="1"/>
    <col min="22" max="22" width="40.42578125" style="1" bestFit="1" customWidth="1"/>
    <col min="23" max="23" width="12.5703125" style="1" bestFit="1" customWidth="1"/>
    <col min="24" max="24" width="23.7109375" style="1" bestFit="1" customWidth="1"/>
    <col min="25" max="25" width="23.7109375" style="1" customWidth="1"/>
    <col min="26" max="26" width="22.5703125" style="1" bestFit="1" customWidth="1"/>
    <col min="27" max="27" width="37" style="1" bestFit="1" customWidth="1"/>
    <col min="28" max="28" width="16.85546875" style="1" customWidth="1"/>
    <col min="29" max="29" width="13.140625" style="15" customWidth="1"/>
    <col min="30" max="30" width="14.5703125" style="15" bestFit="1" customWidth="1"/>
    <col min="31" max="31" width="92.5703125" style="18" bestFit="1" customWidth="1"/>
    <col min="32" max="16384" width="8.85546875" style="1"/>
  </cols>
  <sheetData>
    <row r="1" spans="1:32" ht="14.25" customHeight="1">
      <c r="A1" s="5" t="s">
        <v>0</v>
      </c>
      <c r="B1" s="6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7" t="s">
        <v>13</v>
      </c>
      <c r="O1" s="7" t="s">
        <v>14</v>
      </c>
      <c r="P1" s="7" t="s">
        <v>15</v>
      </c>
      <c r="Q1" s="5" t="s">
        <v>16</v>
      </c>
      <c r="R1" s="5" t="s">
        <v>17</v>
      </c>
      <c r="S1" s="5" t="s">
        <v>18</v>
      </c>
      <c r="T1" s="5" t="s">
        <v>686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687</v>
      </c>
      <c r="AC1" s="8" t="s">
        <v>688</v>
      </c>
      <c r="AD1" s="8" t="s">
        <v>689</v>
      </c>
      <c r="AE1" s="6" t="s">
        <v>690</v>
      </c>
      <c r="AF1" s="1" t="s">
        <v>1183</v>
      </c>
    </row>
    <row r="2" spans="1:32" ht="14.25" customHeight="1">
      <c r="A2" s="1" t="s">
        <v>232</v>
      </c>
      <c r="C2" s="1">
        <v>314806</v>
      </c>
      <c r="D2" s="9" t="s">
        <v>79</v>
      </c>
      <c r="E2" s="10">
        <f>19048779.3021/1000000</f>
        <v>19.048779302099998</v>
      </c>
      <c r="F2" s="10">
        <v>16.655000000000001</v>
      </c>
      <c r="G2" s="11">
        <v>66.404464000000004</v>
      </c>
      <c r="H2" s="12">
        <v>-164.493819</v>
      </c>
      <c r="I2" s="9" t="s">
        <v>28</v>
      </c>
      <c r="J2" s="1" t="s">
        <v>224</v>
      </c>
      <c r="K2" s="13">
        <v>6132</v>
      </c>
      <c r="L2" s="1">
        <v>3894</v>
      </c>
      <c r="M2" s="1">
        <f t="shared" ref="M2:M33" si="0">AVERAGE(K2:L2)</f>
        <v>5013</v>
      </c>
      <c r="N2" s="4">
        <f t="shared" ref="N2:N65" si="1">L2/K2</f>
        <v>0.63502935420743645</v>
      </c>
      <c r="O2" s="4">
        <f t="shared" ref="O2:O33" si="2">E2/(PI()*((K2/2000)^2))</f>
        <v>0.64501969623188726</v>
      </c>
      <c r="P2" s="4">
        <f t="shared" ref="P2:P65" si="3">E2/(((F2/(2*PI()))^2)*PI())</f>
        <v>0.86295418667455426</v>
      </c>
      <c r="Q2" s="14" t="s">
        <v>47</v>
      </c>
      <c r="R2" s="14" t="s">
        <v>48</v>
      </c>
      <c r="S2" s="14" t="s">
        <v>225</v>
      </c>
      <c r="T2" s="1" t="s">
        <v>65</v>
      </c>
      <c r="U2" s="1" t="s">
        <v>226</v>
      </c>
      <c r="V2" s="1" t="s">
        <v>69</v>
      </c>
      <c r="W2" s="1">
        <v>30</v>
      </c>
      <c r="X2" s="1" t="s">
        <v>233</v>
      </c>
      <c r="Y2" s="4">
        <f>130/K2</f>
        <v>2.1200260926288322E-2</v>
      </c>
      <c r="Z2" s="1" t="s">
        <v>231</v>
      </c>
      <c r="AA2" s="1" t="s">
        <v>203</v>
      </c>
      <c r="AB2" s="1" t="s">
        <v>65</v>
      </c>
      <c r="AC2" s="15" t="s">
        <v>36</v>
      </c>
      <c r="AD2" s="15" t="s">
        <v>36</v>
      </c>
      <c r="AE2" s="1" t="s">
        <v>228</v>
      </c>
    </row>
    <row r="3" spans="1:32" ht="14.25" customHeight="1">
      <c r="A3" s="1" t="s">
        <v>223</v>
      </c>
      <c r="C3" s="1">
        <v>314806</v>
      </c>
      <c r="D3" s="9" t="s">
        <v>79</v>
      </c>
      <c r="E3" s="10">
        <f>13677870.0977/1000000</f>
        <v>13.6778700977</v>
      </c>
      <c r="F3" s="10">
        <f>13263.025939/1000</f>
        <v>13.263025938999998</v>
      </c>
      <c r="G3" s="11">
        <v>66.378448000000006</v>
      </c>
      <c r="H3" s="12">
        <v>-164.74157700000001</v>
      </c>
      <c r="I3" s="9" t="s">
        <v>28</v>
      </c>
      <c r="J3" s="1" t="s">
        <v>224</v>
      </c>
      <c r="K3" s="13">
        <v>4310</v>
      </c>
      <c r="L3" s="1">
        <v>4268</v>
      </c>
      <c r="M3" s="1">
        <f t="shared" si="0"/>
        <v>4289</v>
      </c>
      <c r="N3" s="4">
        <f t="shared" si="1"/>
        <v>0.99025522041763336</v>
      </c>
      <c r="O3" s="4">
        <f t="shared" si="2"/>
        <v>0.93750599405377044</v>
      </c>
      <c r="P3" s="4">
        <f t="shared" si="3"/>
        <v>0.9771091964670664</v>
      </c>
      <c r="Q3" s="14" t="s">
        <v>47</v>
      </c>
      <c r="R3" s="14" t="s">
        <v>48</v>
      </c>
      <c r="S3" s="14" t="s">
        <v>225</v>
      </c>
      <c r="U3" s="1" t="s">
        <v>226</v>
      </c>
      <c r="V3" s="1" t="s">
        <v>69</v>
      </c>
      <c r="W3" s="1">
        <v>15</v>
      </c>
      <c r="X3" s="1">
        <v>6</v>
      </c>
      <c r="Y3" s="4">
        <f>50/K3</f>
        <v>1.1600928074245939E-2</v>
      </c>
      <c r="Z3" s="1" t="s">
        <v>227</v>
      </c>
      <c r="AA3" s="1" t="s">
        <v>203</v>
      </c>
      <c r="AB3" s="1" t="s">
        <v>65</v>
      </c>
      <c r="AC3" s="15" t="s">
        <v>36</v>
      </c>
      <c r="AD3" s="15" t="s">
        <v>36</v>
      </c>
      <c r="AE3" s="1" t="s">
        <v>228</v>
      </c>
    </row>
    <row r="4" spans="1:32" ht="14.25" customHeight="1">
      <c r="A4" s="1" t="s">
        <v>229</v>
      </c>
      <c r="C4" s="1">
        <v>314806</v>
      </c>
      <c r="D4" s="9" t="s">
        <v>79</v>
      </c>
      <c r="E4" s="10">
        <v>9.57</v>
      </c>
      <c r="F4" s="10">
        <v>11.5</v>
      </c>
      <c r="G4" s="11">
        <v>66.371263999999996</v>
      </c>
      <c r="H4" s="12">
        <v>-164.50336300000001</v>
      </c>
      <c r="I4" s="9" t="s">
        <v>28</v>
      </c>
      <c r="J4" s="1" t="s">
        <v>224</v>
      </c>
      <c r="K4" s="13">
        <v>4141</v>
      </c>
      <c r="L4" s="1">
        <v>2923</v>
      </c>
      <c r="M4" s="1">
        <f t="shared" si="0"/>
        <v>3532</v>
      </c>
      <c r="N4" s="4">
        <f t="shared" si="1"/>
        <v>0.70586814779038876</v>
      </c>
      <c r="O4" s="4">
        <f t="shared" si="2"/>
        <v>0.71057773512164601</v>
      </c>
      <c r="P4" s="4">
        <f t="shared" si="3"/>
        <v>0.90933963538311746</v>
      </c>
      <c r="Q4" s="14" t="s">
        <v>47</v>
      </c>
      <c r="R4" s="14" t="s">
        <v>48</v>
      </c>
      <c r="S4" s="14" t="s">
        <v>225</v>
      </c>
      <c r="T4" s="1" t="s">
        <v>65</v>
      </c>
      <c r="U4" s="1" t="s">
        <v>226</v>
      </c>
      <c r="V4" s="1" t="s">
        <v>69</v>
      </c>
      <c r="W4" s="1">
        <v>30</v>
      </c>
      <c r="X4" s="1" t="s">
        <v>230</v>
      </c>
      <c r="Y4" s="4">
        <f>125/K4</f>
        <v>3.0185945423810673E-2</v>
      </c>
      <c r="Z4" s="1" t="s">
        <v>231</v>
      </c>
      <c r="AA4" s="1" t="s">
        <v>203</v>
      </c>
      <c r="AB4" s="1" t="s">
        <v>65</v>
      </c>
      <c r="AC4" s="15" t="s">
        <v>36</v>
      </c>
      <c r="AD4" s="15" t="s">
        <v>36</v>
      </c>
      <c r="AE4" s="1" t="s">
        <v>228</v>
      </c>
    </row>
    <row r="5" spans="1:32" ht="14.25" customHeight="1">
      <c r="A5" s="1" t="s">
        <v>234</v>
      </c>
      <c r="C5" s="1">
        <v>314806</v>
      </c>
      <c r="D5" s="9" t="s">
        <v>79</v>
      </c>
      <c r="E5" s="10">
        <v>17.600000000000001</v>
      </c>
      <c r="F5" s="10">
        <v>15.1</v>
      </c>
      <c r="G5" s="11">
        <v>66.368624999999994</v>
      </c>
      <c r="H5" s="12">
        <v>-164.05976100000001</v>
      </c>
      <c r="I5" s="9" t="s">
        <v>28</v>
      </c>
      <c r="J5" s="1" t="s">
        <v>224</v>
      </c>
      <c r="K5" s="13">
        <v>5065</v>
      </c>
      <c r="L5" s="1">
        <v>4352</v>
      </c>
      <c r="M5" s="1">
        <f t="shared" si="0"/>
        <v>4708.5</v>
      </c>
      <c r="N5" s="4">
        <f t="shared" si="1"/>
        <v>0.85923000987166831</v>
      </c>
      <c r="O5" s="4">
        <f t="shared" si="2"/>
        <v>0.87350196653139445</v>
      </c>
      <c r="P5" s="4">
        <f t="shared" si="3"/>
        <v>0.96999308281532159</v>
      </c>
      <c r="Q5" s="14" t="s">
        <v>47</v>
      </c>
      <c r="R5" s="14" t="s">
        <v>48</v>
      </c>
      <c r="S5" s="14" t="s">
        <v>225</v>
      </c>
      <c r="U5" s="1" t="s">
        <v>226</v>
      </c>
      <c r="V5" s="1" t="s">
        <v>69</v>
      </c>
      <c r="W5" s="1">
        <v>60</v>
      </c>
      <c r="X5" s="1" t="s">
        <v>235</v>
      </c>
      <c r="Y5" s="4">
        <f>80/K5</f>
        <v>1.5794669299111549E-2</v>
      </c>
      <c r="Z5" s="1" t="s">
        <v>227</v>
      </c>
      <c r="AA5" s="1" t="s">
        <v>203</v>
      </c>
      <c r="AB5" s="1" t="s">
        <v>65</v>
      </c>
      <c r="AC5" s="15" t="s">
        <v>36</v>
      </c>
      <c r="AD5" s="15" t="s">
        <v>36</v>
      </c>
      <c r="AE5" s="1" t="s">
        <v>228</v>
      </c>
    </row>
    <row r="6" spans="1:32" ht="14.25" customHeight="1">
      <c r="A6" s="1" t="s">
        <v>242</v>
      </c>
      <c r="C6" s="1">
        <v>314806</v>
      </c>
      <c r="D6" s="9" t="s">
        <v>79</v>
      </c>
      <c r="E6" s="10">
        <v>15.27</v>
      </c>
      <c r="F6" s="10">
        <f>15142.224454/1000</f>
        <v>15.142224453999999</v>
      </c>
      <c r="G6" s="11">
        <v>66.326183</v>
      </c>
      <c r="H6" s="12">
        <v>-164.10859300000001</v>
      </c>
      <c r="I6" s="9" t="s">
        <v>28</v>
      </c>
      <c r="J6" s="1" t="s">
        <v>224</v>
      </c>
      <c r="K6" s="13">
        <v>4909</v>
      </c>
      <c r="L6" s="1">
        <v>3724</v>
      </c>
      <c r="M6" s="1">
        <f t="shared" si="0"/>
        <v>4316.5</v>
      </c>
      <c r="N6" s="4">
        <f t="shared" si="1"/>
        <v>0.75860664086371965</v>
      </c>
      <c r="O6" s="4">
        <f t="shared" si="2"/>
        <v>0.80679480200707832</v>
      </c>
      <c r="P6" s="4">
        <f t="shared" si="3"/>
        <v>0.83689224235341564</v>
      </c>
      <c r="Q6" s="14" t="s">
        <v>47</v>
      </c>
      <c r="R6" s="14" t="s">
        <v>48</v>
      </c>
      <c r="S6" s="14" t="s">
        <v>225</v>
      </c>
      <c r="U6" s="1" t="s">
        <v>243</v>
      </c>
      <c r="V6" s="1" t="s">
        <v>69</v>
      </c>
      <c r="W6" s="1">
        <v>75</v>
      </c>
      <c r="X6" s="1" t="s">
        <v>244</v>
      </c>
      <c r="Y6" s="4">
        <f>(40+25)/K6</f>
        <v>1.3240985944184151E-2</v>
      </c>
      <c r="Z6" s="1" t="s">
        <v>227</v>
      </c>
      <c r="AA6" s="1" t="s">
        <v>203</v>
      </c>
      <c r="AB6" s="1" t="s">
        <v>65</v>
      </c>
      <c r="AC6" s="15" t="s">
        <v>36</v>
      </c>
      <c r="AD6" s="15" t="s">
        <v>36</v>
      </c>
      <c r="AE6" s="1" t="s">
        <v>228</v>
      </c>
    </row>
    <row r="7" spans="1:32">
      <c r="A7" s="1" t="s">
        <v>77</v>
      </c>
      <c r="B7" s="1" t="s">
        <v>78</v>
      </c>
      <c r="C7" s="1">
        <v>373060</v>
      </c>
      <c r="D7" s="1" t="s">
        <v>79</v>
      </c>
      <c r="E7" s="1">
        <v>0.03</v>
      </c>
      <c r="F7" s="1">
        <v>0.62</v>
      </c>
      <c r="G7" s="16">
        <v>65.047327999999993</v>
      </c>
      <c r="H7" s="17">
        <v>-16.726234000000002</v>
      </c>
      <c r="I7" s="1" t="s">
        <v>80</v>
      </c>
      <c r="J7" s="1" t="s">
        <v>29</v>
      </c>
      <c r="K7" s="1">
        <v>230</v>
      </c>
      <c r="L7" s="1">
        <v>170</v>
      </c>
      <c r="M7" s="1">
        <f t="shared" si="0"/>
        <v>200</v>
      </c>
      <c r="N7" s="4">
        <f t="shared" si="1"/>
        <v>0.73913043478260865</v>
      </c>
      <c r="O7" s="4">
        <f t="shared" si="2"/>
        <v>0.72206401402750242</v>
      </c>
      <c r="P7" s="4">
        <f t="shared" si="3"/>
        <v>0.98072611454416014</v>
      </c>
      <c r="Q7" s="14" t="s">
        <v>30</v>
      </c>
      <c r="R7" s="14" t="s">
        <v>65</v>
      </c>
      <c r="S7" s="14" t="s">
        <v>78</v>
      </c>
      <c r="T7" s="1" t="s">
        <v>65</v>
      </c>
      <c r="U7" s="1" t="s">
        <v>81</v>
      </c>
      <c r="V7" s="1" t="s">
        <v>82</v>
      </c>
      <c r="W7" s="1">
        <v>1100</v>
      </c>
      <c r="Y7" s="4"/>
      <c r="Z7" s="1" t="s">
        <v>83</v>
      </c>
      <c r="AB7" s="1" t="s">
        <v>65</v>
      </c>
      <c r="AC7" s="15">
        <v>0</v>
      </c>
      <c r="AD7" s="15">
        <v>13028</v>
      </c>
      <c r="AE7" s="1" t="s">
        <v>84</v>
      </c>
    </row>
    <row r="8" spans="1:32" ht="14.25" customHeight="1">
      <c r="A8" s="1" t="s">
        <v>214</v>
      </c>
      <c r="C8" s="1">
        <v>314020</v>
      </c>
      <c r="D8" s="1" t="s">
        <v>79</v>
      </c>
      <c r="E8" s="1">
        <v>0.49</v>
      </c>
      <c r="F8" s="1">
        <v>2.58</v>
      </c>
      <c r="G8" s="16">
        <v>60.027476999999998</v>
      </c>
      <c r="H8" s="17">
        <v>-166.08291600000001</v>
      </c>
      <c r="I8" s="1" t="s">
        <v>28</v>
      </c>
      <c r="J8" s="1" t="s">
        <v>166</v>
      </c>
      <c r="K8" s="1">
        <v>926</v>
      </c>
      <c r="L8" s="1">
        <v>662</v>
      </c>
      <c r="M8" s="1">
        <f t="shared" si="0"/>
        <v>794</v>
      </c>
      <c r="N8" s="4">
        <f t="shared" si="1"/>
        <v>0.71490280777537796</v>
      </c>
      <c r="O8" s="4">
        <f t="shared" si="2"/>
        <v>0.72758581805231815</v>
      </c>
      <c r="P8" s="4">
        <f t="shared" si="3"/>
        <v>0.92505282150051005</v>
      </c>
      <c r="Q8" s="14" t="s">
        <v>47</v>
      </c>
      <c r="R8" s="14" t="s">
        <v>48</v>
      </c>
      <c r="S8" s="14" t="s">
        <v>215</v>
      </c>
      <c r="U8" s="1" t="s">
        <v>216</v>
      </c>
      <c r="V8" s="1" t="s">
        <v>51</v>
      </c>
      <c r="W8" s="1">
        <v>160</v>
      </c>
      <c r="X8" s="1" t="s">
        <v>217</v>
      </c>
      <c r="Y8" s="4">
        <f>200/K8</f>
        <v>0.21598272138228941</v>
      </c>
      <c r="Z8" s="1" t="s">
        <v>218</v>
      </c>
      <c r="AB8" s="1" t="s">
        <v>65</v>
      </c>
      <c r="AC8" s="15" t="s">
        <v>36</v>
      </c>
      <c r="AD8" s="15" t="s">
        <v>36</v>
      </c>
      <c r="AE8" s="18" t="s">
        <v>219</v>
      </c>
    </row>
    <row r="9" spans="1:32">
      <c r="A9" s="1" t="s">
        <v>220</v>
      </c>
      <c r="C9" s="1">
        <v>314020</v>
      </c>
      <c r="D9" s="1" t="s">
        <v>79</v>
      </c>
      <c r="E9" s="1">
        <v>0.14000000000000001</v>
      </c>
      <c r="F9" s="1">
        <v>1.4</v>
      </c>
      <c r="G9" s="16">
        <v>60.027065</v>
      </c>
      <c r="H9" s="17">
        <v>-166.19281599999999</v>
      </c>
      <c r="I9" s="1" t="s">
        <v>28</v>
      </c>
      <c r="J9" s="1" t="s">
        <v>166</v>
      </c>
      <c r="K9" s="1">
        <v>519</v>
      </c>
      <c r="L9" s="1">
        <v>330</v>
      </c>
      <c r="M9" s="1">
        <f t="shared" si="0"/>
        <v>424.5</v>
      </c>
      <c r="N9" s="4">
        <f t="shared" si="1"/>
        <v>0.63583815028901736</v>
      </c>
      <c r="O9" s="4">
        <f t="shared" si="2"/>
        <v>0.66176445834000763</v>
      </c>
      <c r="P9" s="4">
        <f t="shared" si="3"/>
        <v>0.8975979010256554</v>
      </c>
      <c r="Q9" s="14" t="s">
        <v>47</v>
      </c>
      <c r="R9" s="14" t="s">
        <v>48</v>
      </c>
      <c r="S9" s="14" t="s">
        <v>215</v>
      </c>
      <c r="U9" s="1" t="s">
        <v>221</v>
      </c>
      <c r="V9" s="1" t="s">
        <v>51</v>
      </c>
      <c r="W9" s="1">
        <v>200</v>
      </c>
      <c r="X9" s="1" t="s">
        <v>222</v>
      </c>
      <c r="Y9" s="4">
        <f>45/K9</f>
        <v>8.6705202312138727E-2</v>
      </c>
      <c r="Z9" s="1" t="s">
        <v>218</v>
      </c>
      <c r="AB9" s="1" t="s">
        <v>65</v>
      </c>
      <c r="AC9" s="15" t="s">
        <v>36</v>
      </c>
      <c r="AD9" s="15" t="s">
        <v>36</v>
      </c>
      <c r="AE9" s="1" t="s">
        <v>219</v>
      </c>
    </row>
    <row r="10" spans="1:32" ht="14.25" customHeight="1">
      <c r="A10" s="1" t="s">
        <v>401</v>
      </c>
      <c r="C10" s="1">
        <v>314020</v>
      </c>
      <c r="D10" s="1" t="s">
        <v>79</v>
      </c>
      <c r="E10" s="1">
        <v>0.36</v>
      </c>
      <c r="F10" s="1">
        <v>2.52</v>
      </c>
      <c r="G10" s="16">
        <v>60.025145000000002</v>
      </c>
      <c r="H10" s="17">
        <v>-166.20152999999999</v>
      </c>
      <c r="I10" s="1" t="s">
        <v>28</v>
      </c>
      <c r="J10" s="1" t="s">
        <v>166</v>
      </c>
      <c r="K10" s="1">
        <v>850</v>
      </c>
      <c r="L10" s="1">
        <v>545</v>
      </c>
      <c r="M10" s="1">
        <f t="shared" si="0"/>
        <v>697.5</v>
      </c>
      <c r="N10" s="4">
        <f t="shared" si="1"/>
        <v>0.64117647058823535</v>
      </c>
      <c r="O10" s="4">
        <f t="shared" si="2"/>
        <v>0.6344169357849947</v>
      </c>
      <c r="P10" s="4">
        <f t="shared" si="3"/>
        <v>0.71237928652829785</v>
      </c>
      <c r="Q10" s="14" t="s">
        <v>47</v>
      </c>
      <c r="R10" s="14" t="s">
        <v>48</v>
      </c>
      <c r="S10" s="14" t="s">
        <v>215</v>
      </c>
      <c r="V10" s="1" t="s">
        <v>51</v>
      </c>
      <c r="W10" s="1">
        <v>180</v>
      </c>
      <c r="X10" s="1" t="s">
        <v>402</v>
      </c>
      <c r="Y10" s="4">
        <f>50/K10</f>
        <v>5.8823529411764705E-2</v>
      </c>
      <c r="Z10" s="1" t="s">
        <v>218</v>
      </c>
      <c r="AB10" s="1" t="s">
        <v>65</v>
      </c>
      <c r="AC10" s="15" t="s">
        <v>36</v>
      </c>
      <c r="AD10" s="15" t="s">
        <v>36</v>
      </c>
      <c r="AE10" s="18" t="s">
        <v>219</v>
      </c>
    </row>
    <row r="11" spans="1:32">
      <c r="A11" s="1" t="s">
        <v>390</v>
      </c>
      <c r="C11" s="1">
        <v>314020</v>
      </c>
      <c r="D11" s="1" t="s">
        <v>79</v>
      </c>
      <c r="E11" s="1">
        <v>0.39</v>
      </c>
      <c r="F11" s="1">
        <v>2.34</v>
      </c>
      <c r="G11" s="16">
        <v>60.019520999999997</v>
      </c>
      <c r="H11" s="17">
        <v>-165.96778</v>
      </c>
      <c r="I11" s="1" t="s">
        <v>391</v>
      </c>
      <c r="J11" s="1" t="s">
        <v>166</v>
      </c>
      <c r="K11" s="1">
        <v>876</v>
      </c>
      <c r="L11" s="1">
        <v>598</v>
      </c>
      <c r="M11" s="1">
        <f t="shared" si="0"/>
        <v>737</v>
      </c>
      <c r="N11" s="4">
        <f t="shared" si="1"/>
        <v>0.68264840182648401</v>
      </c>
      <c r="O11" s="4">
        <f t="shared" si="2"/>
        <v>0.64709271914513034</v>
      </c>
      <c r="P11" s="4">
        <f t="shared" si="3"/>
        <v>0.8950406420483743</v>
      </c>
      <c r="Q11" s="14" t="s">
        <v>47</v>
      </c>
      <c r="R11" s="14" t="s">
        <v>48</v>
      </c>
      <c r="S11" s="14" t="s">
        <v>215</v>
      </c>
      <c r="V11" s="1" t="s">
        <v>51</v>
      </c>
      <c r="W11" s="1">
        <v>120</v>
      </c>
      <c r="X11" s="1">
        <v>200</v>
      </c>
      <c r="Y11" s="4">
        <f>X11/K11</f>
        <v>0.22831050228310501</v>
      </c>
      <c r="Z11" s="1" t="s">
        <v>218</v>
      </c>
      <c r="AB11" s="1" t="s">
        <v>65</v>
      </c>
      <c r="AC11" s="15" t="s">
        <v>36</v>
      </c>
      <c r="AD11" s="15" t="s">
        <v>36</v>
      </c>
      <c r="AE11" s="1" t="s">
        <v>219</v>
      </c>
    </row>
    <row r="12" spans="1:32">
      <c r="A12" s="1" t="s">
        <v>663</v>
      </c>
      <c r="D12" s="1" t="s">
        <v>27</v>
      </c>
      <c r="E12" s="1">
        <v>1.3</v>
      </c>
      <c r="F12" s="1">
        <v>4.2300000000000004</v>
      </c>
      <c r="G12" s="9">
        <v>57.846291299999997</v>
      </c>
      <c r="H12" s="9">
        <v>162.51525000000001</v>
      </c>
      <c r="I12" s="1" t="s">
        <v>444</v>
      </c>
      <c r="J12" s="1" t="s">
        <v>423</v>
      </c>
      <c r="K12" s="1">
        <v>1468</v>
      </c>
      <c r="L12" s="1">
        <v>961</v>
      </c>
      <c r="M12" s="1">
        <f t="shared" si="0"/>
        <v>1214.5</v>
      </c>
      <c r="N12" s="4">
        <f t="shared" si="1"/>
        <v>0.65463215258855589</v>
      </c>
      <c r="O12" s="4">
        <f t="shared" si="2"/>
        <v>0.76807098582461797</v>
      </c>
      <c r="P12" s="4">
        <f t="shared" si="3"/>
        <v>0.91300358235204604</v>
      </c>
      <c r="Q12" s="1" t="s">
        <v>30</v>
      </c>
      <c r="R12" s="1" t="s">
        <v>31</v>
      </c>
      <c r="S12" s="14" t="s">
        <v>691</v>
      </c>
      <c r="W12" s="1">
        <v>36</v>
      </c>
      <c r="X12" s="1" t="s">
        <v>678</v>
      </c>
      <c r="AB12" s="1" t="s">
        <v>65</v>
      </c>
      <c r="AE12" s="18" t="s">
        <v>680</v>
      </c>
    </row>
    <row r="13" spans="1:32">
      <c r="A13" s="1" t="s">
        <v>236</v>
      </c>
      <c r="C13" s="1">
        <v>312131</v>
      </c>
      <c r="D13" s="9" t="s">
        <v>79</v>
      </c>
      <c r="E13" s="10">
        <v>1.2999999999999999E-2</v>
      </c>
      <c r="F13" s="10">
        <v>0.44</v>
      </c>
      <c r="G13" s="11">
        <v>57.834259500000002</v>
      </c>
      <c r="H13" s="19">
        <v>-156.52485730000001</v>
      </c>
      <c r="I13" s="9" t="s">
        <v>28</v>
      </c>
      <c r="J13" s="1" t="s">
        <v>224</v>
      </c>
      <c r="K13" s="13">
        <v>157</v>
      </c>
      <c r="L13" s="1">
        <v>104</v>
      </c>
      <c r="M13" s="1">
        <f t="shared" si="0"/>
        <v>130.5</v>
      </c>
      <c r="N13" s="4">
        <f t="shared" si="1"/>
        <v>0.66242038216560506</v>
      </c>
      <c r="O13" s="4">
        <f t="shared" si="2"/>
        <v>0.67151260016865244</v>
      </c>
      <c r="P13" s="4">
        <f t="shared" si="3"/>
        <v>0.84381620860882856</v>
      </c>
      <c r="Q13" s="14" t="s">
        <v>30</v>
      </c>
      <c r="R13" s="14" t="s">
        <v>65</v>
      </c>
      <c r="S13" s="14" t="s">
        <v>237</v>
      </c>
      <c r="U13" s="1" t="s">
        <v>238</v>
      </c>
      <c r="V13" s="1" t="s">
        <v>34</v>
      </c>
      <c r="W13" s="1">
        <v>91</v>
      </c>
      <c r="Y13" s="4"/>
      <c r="Z13" s="1" t="s">
        <v>1052</v>
      </c>
      <c r="AB13" s="1" t="s">
        <v>65</v>
      </c>
      <c r="AC13" s="15" t="s">
        <v>36</v>
      </c>
      <c r="AD13" s="15" t="s">
        <v>36</v>
      </c>
      <c r="AE13" s="1" t="s">
        <v>239</v>
      </c>
    </row>
    <row r="14" spans="1:32" ht="14.25" customHeight="1">
      <c r="A14" s="1" t="s">
        <v>240</v>
      </c>
      <c r="C14" s="1">
        <v>312131</v>
      </c>
      <c r="D14" s="9" t="s">
        <v>79</v>
      </c>
      <c r="E14" s="10">
        <v>0.09</v>
      </c>
      <c r="F14" s="10">
        <v>1.1000000000000001</v>
      </c>
      <c r="G14" s="11">
        <v>57.833936999999999</v>
      </c>
      <c r="H14" s="19">
        <v>-156.51437390000001</v>
      </c>
      <c r="I14" s="9" t="s">
        <v>28</v>
      </c>
      <c r="J14" s="1" t="s">
        <v>224</v>
      </c>
      <c r="K14" s="13">
        <v>367</v>
      </c>
      <c r="L14" s="1">
        <v>311</v>
      </c>
      <c r="M14" s="1">
        <f t="shared" si="0"/>
        <v>339</v>
      </c>
      <c r="N14" s="4">
        <f t="shared" si="1"/>
        <v>0.84741144414168934</v>
      </c>
      <c r="O14" s="4">
        <f t="shared" si="2"/>
        <v>0.85078632275957677</v>
      </c>
      <c r="P14" s="4">
        <f t="shared" si="3"/>
        <v>0.93468872338208708</v>
      </c>
      <c r="Q14" s="14" t="s">
        <v>30</v>
      </c>
      <c r="R14" s="14" t="s">
        <v>65</v>
      </c>
      <c r="S14" s="14" t="s">
        <v>237</v>
      </c>
      <c r="T14" s="1" t="s">
        <v>65</v>
      </c>
      <c r="U14" s="1" t="s">
        <v>238</v>
      </c>
      <c r="V14" s="1" t="s">
        <v>34</v>
      </c>
      <c r="W14" s="1">
        <v>91</v>
      </c>
      <c r="Y14" s="4"/>
      <c r="Z14" s="1" t="s">
        <v>1052</v>
      </c>
      <c r="AB14" s="1" t="s">
        <v>65</v>
      </c>
      <c r="AC14" s="15" t="s">
        <v>36</v>
      </c>
      <c r="AD14" s="15" t="s">
        <v>36</v>
      </c>
      <c r="AE14" s="18" t="s">
        <v>241</v>
      </c>
    </row>
    <row r="15" spans="1:32" ht="14.25" customHeight="1">
      <c r="A15" s="1" t="s">
        <v>501</v>
      </c>
      <c r="C15" s="1">
        <v>300551</v>
      </c>
      <c r="D15" s="1" t="s">
        <v>79</v>
      </c>
      <c r="E15" s="4">
        <v>1.3117270000000001</v>
      </c>
      <c r="F15" s="1">
        <v>4.13</v>
      </c>
      <c r="G15" s="1">
        <v>57.342295481504699</v>
      </c>
      <c r="H15" s="1">
        <v>160.96654862638101</v>
      </c>
      <c r="I15" s="1" t="s">
        <v>498</v>
      </c>
      <c r="J15" s="1" t="s">
        <v>423</v>
      </c>
      <c r="K15" s="1">
        <v>1388</v>
      </c>
      <c r="L15" s="1">
        <v>1247</v>
      </c>
      <c r="M15" s="1">
        <f t="shared" si="0"/>
        <v>1317.5</v>
      </c>
      <c r="N15" s="4">
        <f t="shared" si="1"/>
        <v>0.89841498559077815</v>
      </c>
      <c r="O15" s="4">
        <f t="shared" si="2"/>
        <v>0.86691126094022308</v>
      </c>
      <c r="P15" s="4">
        <f t="shared" si="3"/>
        <v>0.96639176092147561</v>
      </c>
      <c r="Q15" s="14" t="s">
        <v>30</v>
      </c>
      <c r="R15" s="14" t="s">
        <v>48</v>
      </c>
      <c r="S15" s="14" t="s">
        <v>691</v>
      </c>
      <c r="V15" s="1" t="s">
        <v>34</v>
      </c>
      <c r="W15" s="1">
        <v>583</v>
      </c>
      <c r="Z15" s="1" t="s">
        <v>502</v>
      </c>
      <c r="AA15" s="1" t="s">
        <v>53</v>
      </c>
      <c r="AB15" s="1" t="s">
        <v>65</v>
      </c>
      <c r="AC15" s="15">
        <v>0</v>
      </c>
      <c r="AD15" s="15">
        <v>3650</v>
      </c>
      <c r="AE15" s="18" t="s">
        <v>680</v>
      </c>
    </row>
    <row r="16" spans="1:32" ht="14.25" customHeight="1">
      <c r="A16" s="1" t="s">
        <v>442</v>
      </c>
      <c r="B16" s="1" t="s">
        <v>443</v>
      </c>
      <c r="C16" s="1">
        <v>300190</v>
      </c>
      <c r="D16" s="1" t="s">
        <v>79</v>
      </c>
      <c r="E16" s="4">
        <v>1.2577959999999999</v>
      </c>
      <c r="F16" s="1">
        <v>4.17</v>
      </c>
      <c r="G16" s="1">
        <v>54.698569999999997</v>
      </c>
      <c r="H16" s="1">
        <v>160.36869999999999</v>
      </c>
      <c r="I16" s="1" t="s">
        <v>444</v>
      </c>
      <c r="J16" s="1" t="s">
        <v>94</v>
      </c>
      <c r="K16" s="1">
        <v>1432</v>
      </c>
      <c r="L16" s="1">
        <v>982</v>
      </c>
      <c r="M16" s="1">
        <f t="shared" si="0"/>
        <v>1207</v>
      </c>
      <c r="N16" s="4">
        <f t="shared" si="1"/>
        <v>0.68575418994413406</v>
      </c>
      <c r="O16" s="4">
        <f t="shared" si="2"/>
        <v>0.7809698932664928</v>
      </c>
      <c r="P16" s="4">
        <f t="shared" si="3"/>
        <v>0.9089666795058059</v>
      </c>
      <c r="Q16" s="14" t="s">
        <v>30</v>
      </c>
      <c r="R16" s="14" t="s">
        <v>48</v>
      </c>
      <c r="S16" s="14" t="s">
        <v>691</v>
      </c>
      <c r="V16" s="1" t="s">
        <v>34</v>
      </c>
      <c r="W16" s="1">
        <v>350</v>
      </c>
      <c r="X16" s="1" t="s">
        <v>445</v>
      </c>
      <c r="Y16" s="4">
        <f>80/K16</f>
        <v>5.5865921787709494E-2</v>
      </c>
      <c r="Z16" s="1">
        <v>4300</v>
      </c>
      <c r="AA16" s="1" t="s">
        <v>53</v>
      </c>
      <c r="AB16" s="1" t="s">
        <v>65</v>
      </c>
      <c r="AC16" s="15">
        <v>308</v>
      </c>
      <c r="AD16" s="15">
        <v>4674</v>
      </c>
      <c r="AE16" s="18" t="s">
        <v>680</v>
      </c>
    </row>
    <row r="17" spans="1:31">
      <c r="A17" s="1" t="s">
        <v>523</v>
      </c>
      <c r="B17" s="1" t="s">
        <v>524</v>
      </c>
      <c r="C17" s="1">
        <v>300170</v>
      </c>
      <c r="D17" s="1" t="s">
        <v>79</v>
      </c>
      <c r="E17" s="4">
        <v>0.9377086</v>
      </c>
      <c r="F17" s="1">
        <v>3.51</v>
      </c>
      <c r="G17" s="1">
        <v>54.507890000000003</v>
      </c>
      <c r="H17" s="1">
        <v>160.0412</v>
      </c>
      <c r="I17" s="1" t="s">
        <v>444</v>
      </c>
      <c r="J17" s="1" t="s">
        <v>187</v>
      </c>
      <c r="K17" s="1">
        <v>1120</v>
      </c>
      <c r="L17" s="1">
        <v>1000</v>
      </c>
      <c r="M17" s="1">
        <f t="shared" si="0"/>
        <v>1060</v>
      </c>
      <c r="N17" s="4">
        <f t="shared" si="1"/>
        <v>0.8928571428571429</v>
      </c>
      <c r="O17" s="4">
        <f t="shared" si="2"/>
        <v>0.95179182952666352</v>
      </c>
      <c r="P17" s="4">
        <f t="shared" si="3"/>
        <v>0.95645277196385414</v>
      </c>
      <c r="Q17" s="14" t="s">
        <v>30</v>
      </c>
      <c r="R17" s="14" t="s">
        <v>48</v>
      </c>
      <c r="S17" s="14" t="s">
        <v>691</v>
      </c>
      <c r="V17" s="1" t="s">
        <v>34</v>
      </c>
      <c r="W17" s="1">
        <v>700</v>
      </c>
      <c r="X17" s="1" t="s">
        <v>525</v>
      </c>
      <c r="Y17" s="4">
        <f>32/K17</f>
        <v>2.8571428571428571E-2</v>
      </c>
      <c r="Z17" s="1">
        <v>3300</v>
      </c>
      <c r="AA17" s="1" t="s">
        <v>526</v>
      </c>
      <c r="AB17" s="1" t="s">
        <v>65</v>
      </c>
      <c r="AC17" s="15">
        <v>0</v>
      </c>
      <c r="AD17" s="15">
        <v>9144</v>
      </c>
      <c r="AE17" s="18" t="s">
        <v>680</v>
      </c>
    </row>
    <row r="18" spans="1:31">
      <c r="A18" s="1" t="s">
        <v>497</v>
      </c>
      <c r="C18" s="20">
        <v>300130</v>
      </c>
      <c r="D18" s="1" t="s">
        <v>79</v>
      </c>
      <c r="E18" s="4">
        <v>0.54510150000000002</v>
      </c>
      <c r="F18" s="1">
        <v>2.657</v>
      </c>
      <c r="G18" s="1">
        <v>54.098872780217903</v>
      </c>
      <c r="H18" s="1">
        <v>159.482491670326</v>
      </c>
      <c r="I18" s="1" t="s">
        <v>498</v>
      </c>
      <c r="J18" s="1" t="s">
        <v>423</v>
      </c>
      <c r="K18" s="1">
        <v>841</v>
      </c>
      <c r="L18" s="1">
        <v>745</v>
      </c>
      <c r="M18" s="1">
        <f t="shared" si="0"/>
        <v>793</v>
      </c>
      <c r="N18" s="4">
        <f t="shared" si="1"/>
        <v>0.8858501783590963</v>
      </c>
      <c r="O18" s="4">
        <f t="shared" si="2"/>
        <v>0.98128577707368692</v>
      </c>
      <c r="P18" s="4">
        <f t="shared" si="3"/>
        <v>0.97029575711810978</v>
      </c>
      <c r="Q18" s="14" t="s">
        <v>30</v>
      </c>
      <c r="R18" s="14" t="s">
        <v>48</v>
      </c>
      <c r="S18" s="14" t="s">
        <v>691</v>
      </c>
      <c r="V18" s="1" t="s">
        <v>34</v>
      </c>
      <c r="W18" s="1">
        <v>580</v>
      </c>
      <c r="X18" s="1" t="s">
        <v>499</v>
      </c>
      <c r="Y18" s="4">
        <f>100/K18</f>
        <v>0.11890606420927467</v>
      </c>
      <c r="Z18" s="1" t="s">
        <v>500</v>
      </c>
      <c r="AA18" s="1" t="s">
        <v>53</v>
      </c>
      <c r="AB18" s="1" t="s">
        <v>65</v>
      </c>
      <c r="AC18" s="15" t="s">
        <v>36</v>
      </c>
      <c r="AD18" s="15" t="s">
        <v>36</v>
      </c>
      <c r="AE18" s="18" t="s">
        <v>680</v>
      </c>
    </row>
    <row r="19" spans="1:31">
      <c r="A19" s="1" t="s">
        <v>645</v>
      </c>
      <c r="C19" s="20">
        <v>300110</v>
      </c>
      <c r="D19" s="1" t="s">
        <v>79</v>
      </c>
      <c r="E19" s="4">
        <v>0.08</v>
      </c>
      <c r="F19" s="1">
        <v>1.151</v>
      </c>
      <c r="G19" s="1">
        <v>53.706444593928602</v>
      </c>
      <c r="H19" s="1">
        <v>158.79957523547</v>
      </c>
      <c r="I19" s="1" t="s">
        <v>498</v>
      </c>
      <c r="J19" s="1" t="s">
        <v>423</v>
      </c>
      <c r="K19" s="1">
        <v>330</v>
      </c>
      <c r="L19" s="1">
        <v>293</v>
      </c>
      <c r="M19" s="1">
        <f t="shared" si="0"/>
        <v>311.5</v>
      </c>
      <c r="N19" s="4">
        <f t="shared" si="1"/>
        <v>0.88787878787878793</v>
      </c>
      <c r="O19" s="4">
        <f t="shared" si="2"/>
        <v>0.93534585471820941</v>
      </c>
      <c r="P19" s="4">
        <f t="shared" si="3"/>
        <v>0.75883823242036641</v>
      </c>
      <c r="Q19" s="14" t="s">
        <v>30</v>
      </c>
      <c r="R19" s="14" t="s">
        <v>48</v>
      </c>
      <c r="S19" s="14" t="s">
        <v>691</v>
      </c>
      <c r="V19" s="1" t="s">
        <v>34</v>
      </c>
      <c r="W19" s="1">
        <v>662</v>
      </c>
      <c r="X19" s="1" t="s">
        <v>681</v>
      </c>
      <c r="Z19" s="1">
        <v>1200</v>
      </c>
      <c r="AA19" s="1" t="s">
        <v>53</v>
      </c>
      <c r="AB19" s="1" t="s">
        <v>65</v>
      </c>
      <c r="AC19" s="15" t="s">
        <v>36</v>
      </c>
      <c r="AD19" s="15" t="s">
        <v>36</v>
      </c>
      <c r="AE19" s="18" t="s">
        <v>680</v>
      </c>
    </row>
    <row r="20" spans="1:31">
      <c r="A20" s="1" t="s">
        <v>664</v>
      </c>
      <c r="B20" s="1" t="s">
        <v>665</v>
      </c>
      <c r="C20" s="1">
        <v>300082</v>
      </c>
      <c r="D20" s="1" t="s">
        <v>79</v>
      </c>
      <c r="E20" s="4">
        <v>1.2855289999999999</v>
      </c>
      <c r="F20" s="1">
        <v>4.29</v>
      </c>
      <c r="G20" s="1">
        <v>52.629115313457298</v>
      </c>
      <c r="H20" s="1">
        <v>157.555852672583</v>
      </c>
      <c r="I20" s="1" t="s">
        <v>444</v>
      </c>
      <c r="J20" s="1" t="s">
        <v>423</v>
      </c>
      <c r="K20" s="1">
        <v>1477</v>
      </c>
      <c r="L20" s="1">
        <v>1200</v>
      </c>
      <c r="M20" s="1">
        <f t="shared" si="0"/>
        <v>1338.5</v>
      </c>
      <c r="N20" s="4">
        <f t="shared" si="1"/>
        <v>0.81245768449559919</v>
      </c>
      <c r="O20" s="4">
        <f t="shared" si="2"/>
        <v>0.750293192849533</v>
      </c>
      <c r="P20" s="4">
        <f t="shared" si="3"/>
        <v>0.87776277294225369</v>
      </c>
      <c r="Q20" s="14" t="s">
        <v>30</v>
      </c>
      <c r="R20" s="14" t="s">
        <v>48</v>
      </c>
      <c r="S20" s="14" t="s">
        <v>691</v>
      </c>
      <c r="V20" s="1" t="s">
        <v>34</v>
      </c>
      <c r="W20" s="1">
        <v>573</v>
      </c>
      <c r="X20" s="1" t="s">
        <v>679</v>
      </c>
      <c r="Z20" s="1">
        <v>4600</v>
      </c>
      <c r="AA20" s="1" t="s">
        <v>181</v>
      </c>
      <c r="AB20" s="1" t="s">
        <v>48</v>
      </c>
      <c r="AC20" s="15">
        <v>0</v>
      </c>
      <c r="AD20" s="15">
        <v>10679</v>
      </c>
      <c r="AE20" s="18" t="s">
        <v>680</v>
      </c>
    </row>
    <row r="21" spans="1:31">
      <c r="A21" s="1" t="s">
        <v>658</v>
      </c>
      <c r="D21" s="1" t="s">
        <v>79</v>
      </c>
      <c r="E21" s="4">
        <v>0.54333469999999995</v>
      </c>
      <c r="F21" s="1">
        <v>2.97</v>
      </c>
      <c r="G21" s="1">
        <v>52.389816094601997</v>
      </c>
      <c r="H21" s="1">
        <v>157.252438444825</v>
      </c>
      <c r="I21" s="1" t="s">
        <v>498</v>
      </c>
      <c r="J21" s="1" t="s">
        <v>423</v>
      </c>
      <c r="K21" s="1">
        <v>976</v>
      </c>
      <c r="L21" s="1">
        <v>873</v>
      </c>
      <c r="M21" s="1">
        <f t="shared" si="0"/>
        <v>924.5</v>
      </c>
      <c r="N21" s="4">
        <f t="shared" si="1"/>
        <v>0.89446721311475408</v>
      </c>
      <c r="O21" s="4">
        <f t="shared" si="2"/>
        <v>0.7262362541852998</v>
      </c>
      <c r="P21" s="4">
        <f t="shared" si="3"/>
        <v>0.77404178800821399</v>
      </c>
      <c r="Q21" s="14" t="s">
        <v>30</v>
      </c>
      <c r="R21" s="14" t="s">
        <v>48</v>
      </c>
      <c r="S21" s="14" t="s">
        <v>691</v>
      </c>
      <c r="V21" s="1" t="s">
        <v>34</v>
      </c>
      <c r="W21" s="1">
        <v>120</v>
      </c>
      <c r="Z21" s="1">
        <v>8000</v>
      </c>
      <c r="AA21" s="1" t="s">
        <v>53</v>
      </c>
      <c r="AB21" s="1" t="s">
        <v>65</v>
      </c>
      <c r="AC21" s="15" t="s">
        <v>36</v>
      </c>
      <c r="AD21" s="15" t="s">
        <v>36</v>
      </c>
      <c r="AE21" s="18" t="s">
        <v>680</v>
      </c>
    </row>
    <row r="22" spans="1:31">
      <c r="A22" s="1" t="s">
        <v>646</v>
      </c>
      <c r="D22" s="1" t="s">
        <v>79</v>
      </c>
      <c r="E22" s="4">
        <v>7.9738059999999999E-2</v>
      </c>
      <c r="F22" s="1">
        <v>1.02</v>
      </c>
      <c r="G22" s="1">
        <v>52.088961239683599</v>
      </c>
      <c r="H22" s="1">
        <v>157.09216837692799</v>
      </c>
      <c r="I22" s="1" t="s">
        <v>498</v>
      </c>
      <c r="J22" s="1" t="s">
        <v>423</v>
      </c>
      <c r="K22" s="1">
        <v>347</v>
      </c>
      <c r="L22" s="1">
        <v>283</v>
      </c>
      <c r="M22" s="1">
        <f t="shared" si="0"/>
        <v>315</v>
      </c>
      <c r="N22" s="4">
        <f t="shared" si="1"/>
        <v>0.81556195965417866</v>
      </c>
      <c r="O22" s="4">
        <f t="shared" si="2"/>
        <v>0.84317327784854201</v>
      </c>
      <c r="P22" s="4">
        <f t="shared" si="3"/>
        <v>0.96310843332372986</v>
      </c>
      <c r="Q22" s="14" t="s">
        <v>30</v>
      </c>
      <c r="R22" s="14" t="s">
        <v>48</v>
      </c>
      <c r="S22" s="14" t="s">
        <v>691</v>
      </c>
      <c r="V22" s="1" t="s">
        <v>34</v>
      </c>
      <c r="W22" s="1">
        <v>204</v>
      </c>
      <c r="X22" s="1" t="s">
        <v>397</v>
      </c>
      <c r="AA22" s="1" t="s">
        <v>53</v>
      </c>
      <c r="AB22" s="1" t="s">
        <v>65</v>
      </c>
      <c r="AC22" s="15">
        <v>0</v>
      </c>
      <c r="AD22" s="15">
        <v>6106</v>
      </c>
      <c r="AE22" s="18" t="s">
        <v>680</v>
      </c>
    </row>
    <row r="23" spans="1:31" ht="14.25" customHeight="1">
      <c r="A23" s="1" t="s">
        <v>650</v>
      </c>
      <c r="D23" s="1" t="s">
        <v>79</v>
      </c>
      <c r="E23" s="4">
        <v>0.27373729999999996</v>
      </c>
      <c r="F23" s="1">
        <v>1.91</v>
      </c>
      <c r="G23" s="1">
        <v>52.087739256383898</v>
      </c>
      <c r="H23" s="1">
        <v>157.641135056038</v>
      </c>
      <c r="I23" s="1" t="s">
        <v>498</v>
      </c>
      <c r="J23" s="1" t="s">
        <v>423</v>
      </c>
      <c r="K23" s="1">
        <v>664.9</v>
      </c>
      <c r="L23" s="1">
        <v>531</v>
      </c>
      <c r="M23" s="1">
        <f t="shared" si="0"/>
        <v>597.95000000000005</v>
      </c>
      <c r="N23" s="4">
        <f t="shared" si="1"/>
        <v>0.79861633328320047</v>
      </c>
      <c r="O23" s="4">
        <f t="shared" si="2"/>
        <v>0.78837243683511193</v>
      </c>
      <c r="P23" s="4">
        <f t="shared" si="3"/>
        <v>0.94292490961706665</v>
      </c>
      <c r="Q23" s="14" t="s">
        <v>30</v>
      </c>
      <c r="R23" s="14" t="s">
        <v>48</v>
      </c>
      <c r="S23" s="14" t="s">
        <v>691</v>
      </c>
      <c r="V23" s="1" t="s">
        <v>34</v>
      </c>
      <c r="W23" s="1">
        <v>270</v>
      </c>
      <c r="AB23" s="1" t="s">
        <v>65</v>
      </c>
      <c r="AC23" s="15" t="s">
        <v>36</v>
      </c>
      <c r="AD23" s="15" t="s">
        <v>36</v>
      </c>
      <c r="AE23" s="18" t="s">
        <v>680</v>
      </c>
    </row>
    <row r="24" spans="1:31">
      <c r="A24" s="1" t="s">
        <v>652</v>
      </c>
      <c r="D24" s="1" t="s">
        <v>79</v>
      </c>
      <c r="E24" s="4">
        <v>0.3207933</v>
      </c>
      <c r="F24" s="1">
        <v>2.06</v>
      </c>
      <c r="G24" s="1">
        <v>51.818433359285898</v>
      </c>
      <c r="H24" s="1">
        <v>156.82852748529299</v>
      </c>
      <c r="I24" s="1" t="s">
        <v>444</v>
      </c>
      <c r="J24" s="1" t="s">
        <v>423</v>
      </c>
      <c r="K24" s="1">
        <v>693</v>
      </c>
      <c r="L24" s="1">
        <v>587</v>
      </c>
      <c r="M24" s="1">
        <f t="shared" si="0"/>
        <v>640</v>
      </c>
      <c r="N24" s="4">
        <f t="shared" si="1"/>
        <v>0.84704184704184704</v>
      </c>
      <c r="O24" s="4">
        <f t="shared" si="2"/>
        <v>0.850489465352537</v>
      </c>
      <c r="P24" s="4">
        <f t="shared" si="3"/>
        <v>0.94994992421606805</v>
      </c>
      <c r="Q24" s="14" t="s">
        <v>30</v>
      </c>
      <c r="R24" s="14" t="s">
        <v>48</v>
      </c>
      <c r="S24" s="14" t="s">
        <v>691</v>
      </c>
      <c r="V24" s="1" t="s">
        <v>34</v>
      </c>
      <c r="W24" s="1">
        <v>255</v>
      </c>
      <c r="X24" s="1" t="s">
        <v>682</v>
      </c>
      <c r="AA24" s="1" t="s">
        <v>53</v>
      </c>
      <c r="AB24" s="1" t="s">
        <v>65</v>
      </c>
      <c r="AC24" s="15" t="s">
        <v>36</v>
      </c>
      <c r="AD24" s="15" t="s">
        <v>36</v>
      </c>
      <c r="AE24" s="18" t="s">
        <v>680</v>
      </c>
    </row>
    <row r="25" spans="1:31">
      <c r="A25" s="1" t="s">
        <v>656</v>
      </c>
      <c r="C25" s="20">
        <v>300050</v>
      </c>
      <c r="D25" s="1" t="s">
        <v>79</v>
      </c>
      <c r="E25" s="4">
        <v>0.6</v>
      </c>
      <c r="F25" s="4">
        <v>2.85</v>
      </c>
      <c r="G25" s="1">
        <v>51.802942970532797</v>
      </c>
      <c r="H25" s="1">
        <v>157.29013899020899</v>
      </c>
      <c r="I25" s="1" t="s">
        <v>498</v>
      </c>
      <c r="J25" s="1" t="s">
        <v>423</v>
      </c>
      <c r="K25" s="1">
        <v>1125</v>
      </c>
      <c r="L25" s="1">
        <v>722</v>
      </c>
      <c r="M25" s="1">
        <f t="shared" si="0"/>
        <v>923.5</v>
      </c>
      <c r="N25" s="4">
        <f t="shared" si="1"/>
        <v>0.64177777777777778</v>
      </c>
      <c r="O25" s="4">
        <f t="shared" si="2"/>
        <v>0.60360985824481794</v>
      </c>
      <c r="P25" s="4">
        <f t="shared" si="3"/>
        <v>0.92826375729338295</v>
      </c>
      <c r="Q25" s="14" t="s">
        <v>30</v>
      </c>
      <c r="R25" s="14" t="s">
        <v>48</v>
      </c>
      <c r="S25" s="14" t="s">
        <v>691</v>
      </c>
      <c r="V25" s="1" t="s">
        <v>34</v>
      </c>
      <c r="W25" s="1">
        <v>209</v>
      </c>
      <c r="X25" s="1" t="s">
        <v>678</v>
      </c>
      <c r="Z25" s="1" t="s">
        <v>657</v>
      </c>
      <c r="AA25" s="1" t="s">
        <v>53</v>
      </c>
      <c r="AB25" s="1" t="s">
        <v>65</v>
      </c>
      <c r="AC25" s="15" t="s">
        <v>36</v>
      </c>
      <c r="AD25" s="15" t="s">
        <v>36</v>
      </c>
      <c r="AE25" s="18" t="s">
        <v>680</v>
      </c>
    </row>
    <row r="26" spans="1:31">
      <c r="A26" s="1" t="s">
        <v>647</v>
      </c>
      <c r="B26" s="1" t="s">
        <v>647</v>
      </c>
      <c r="C26" s="1">
        <v>300030</v>
      </c>
      <c r="D26" s="1" t="s">
        <v>79</v>
      </c>
      <c r="E26" s="4">
        <v>0.14040739999999999</v>
      </c>
      <c r="F26" s="1">
        <v>1.38</v>
      </c>
      <c r="G26" s="1">
        <v>51.519691948466203</v>
      </c>
      <c r="H26" s="1">
        <v>157.136691228605</v>
      </c>
      <c r="I26" s="1" t="s">
        <v>498</v>
      </c>
      <c r="J26" s="1" t="s">
        <v>423</v>
      </c>
      <c r="K26" s="1">
        <v>491</v>
      </c>
      <c r="L26" s="1">
        <v>379</v>
      </c>
      <c r="M26" s="1">
        <f t="shared" si="0"/>
        <v>435</v>
      </c>
      <c r="N26" s="4">
        <f t="shared" si="1"/>
        <v>0.77189409368635442</v>
      </c>
      <c r="O26" s="4">
        <f t="shared" si="2"/>
        <v>0.74154435253482387</v>
      </c>
      <c r="P26" s="4">
        <f t="shared" si="3"/>
        <v>0.92649203182029727</v>
      </c>
      <c r="Q26" s="14" t="s">
        <v>30</v>
      </c>
      <c r="R26" s="14" t="s">
        <v>48</v>
      </c>
      <c r="S26" s="14" t="s">
        <v>691</v>
      </c>
      <c r="V26" s="1" t="s">
        <v>34</v>
      </c>
      <c r="W26" s="1">
        <v>333</v>
      </c>
      <c r="X26" s="1" t="s">
        <v>677</v>
      </c>
      <c r="Z26" s="1" t="s">
        <v>648</v>
      </c>
      <c r="AA26" s="1" t="s">
        <v>42</v>
      </c>
      <c r="AB26" s="1" t="s">
        <v>65</v>
      </c>
      <c r="AC26" s="15" t="s">
        <v>36</v>
      </c>
      <c r="AD26" s="15" t="s">
        <v>36</v>
      </c>
      <c r="AE26" s="18" t="s">
        <v>680</v>
      </c>
    </row>
    <row r="27" spans="1:31">
      <c r="A27" s="1" t="s">
        <v>483</v>
      </c>
      <c r="B27" s="1" t="s">
        <v>414</v>
      </c>
      <c r="C27" s="9">
        <v>210010</v>
      </c>
      <c r="D27" s="1" t="s">
        <v>27</v>
      </c>
      <c r="E27" s="1">
        <v>0.9</v>
      </c>
      <c r="F27" s="1">
        <v>4.25</v>
      </c>
      <c r="G27" s="9">
        <v>50.3125085</v>
      </c>
      <c r="H27" s="9">
        <v>6.9996298000000001</v>
      </c>
      <c r="I27" s="1" t="s">
        <v>415</v>
      </c>
      <c r="J27" s="1" t="s">
        <v>262</v>
      </c>
      <c r="K27" s="1">
        <v>1456</v>
      </c>
      <c r="L27" s="1">
        <v>793</v>
      </c>
      <c r="M27" s="1">
        <f t="shared" si="0"/>
        <v>1124.5</v>
      </c>
      <c r="N27" s="4">
        <f t="shared" si="1"/>
        <v>0.5446428571428571</v>
      </c>
      <c r="O27" s="4">
        <f t="shared" si="2"/>
        <v>0.5405425400868924</v>
      </c>
      <c r="P27" s="4">
        <f t="shared" si="3"/>
        <v>0.62614441815492083</v>
      </c>
      <c r="Q27" s="1" t="s">
        <v>47</v>
      </c>
      <c r="R27" s="1" t="s">
        <v>48</v>
      </c>
      <c r="S27" s="14" t="s">
        <v>416</v>
      </c>
      <c r="V27" s="1" t="s">
        <v>89</v>
      </c>
      <c r="W27" s="1">
        <v>500</v>
      </c>
      <c r="AB27" s="1" t="s">
        <v>65</v>
      </c>
      <c r="AC27" s="15">
        <v>94991</v>
      </c>
      <c r="AD27" s="15">
        <v>7945412</v>
      </c>
      <c r="AE27" s="18" t="s">
        <v>417</v>
      </c>
    </row>
    <row r="28" spans="1:31">
      <c r="A28" s="9" t="s">
        <v>714</v>
      </c>
      <c r="B28" s="9" t="s">
        <v>414</v>
      </c>
      <c r="C28" s="9">
        <v>210010</v>
      </c>
      <c r="D28" s="9" t="s">
        <v>27</v>
      </c>
      <c r="E28" s="10">
        <v>0.12</v>
      </c>
      <c r="F28" s="10">
        <v>1.28</v>
      </c>
      <c r="G28" s="11">
        <v>50.210237200000002</v>
      </c>
      <c r="H28" s="19">
        <v>6.9827377999999998</v>
      </c>
      <c r="I28" s="9" t="s">
        <v>415</v>
      </c>
      <c r="J28" s="1" t="s">
        <v>187</v>
      </c>
      <c r="K28" s="1">
        <v>436</v>
      </c>
      <c r="L28" s="1">
        <v>347</v>
      </c>
      <c r="M28" s="1">
        <f t="shared" si="0"/>
        <v>391.5</v>
      </c>
      <c r="N28" s="4">
        <f t="shared" si="1"/>
        <v>0.79587155963302747</v>
      </c>
      <c r="O28" s="4">
        <f t="shared" si="2"/>
        <v>0.80374518857955735</v>
      </c>
      <c r="P28" s="4">
        <f t="shared" si="3"/>
        <v>0.92038847273138447</v>
      </c>
      <c r="Q28" s="14" t="s">
        <v>47</v>
      </c>
      <c r="R28" s="14" t="s">
        <v>48</v>
      </c>
      <c r="S28" s="14" t="s">
        <v>416</v>
      </c>
      <c r="V28" s="1" t="s">
        <v>51</v>
      </c>
      <c r="W28" s="1">
        <v>400</v>
      </c>
      <c r="X28" s="1" t="s">
        <v>448</v>
      </c>
      <c r="Y28" s="4">
        <f>70/K28</f>
        <v>0.16055045871559634</v>
      </c>
      <c r="Z28" s="1" t="s">
        <v>449</v>
      </c>
      <c r="AA28" s="1" t="s">
        <v>450</v>
      </c>
      <c r="AB28" s="1" t="s">
        <v>65</v>
      </c>
      <c r="AC28" s="15">
        <v>94991</v>
      </c>
      <c r="AD28" s="15">
        <v>7945412</v>
      </c>
      <c r="AE28" s="1" t="s">
        <v>451</v>
      </c>
    </row>
    <row r="29" spans="1:31">
      <c r="A29" s="1" t="s">
        <v>467</v>
      </c>
      <c r="B29" s="9" t="s">
        <v>414</v>
      </c>
      <c r="C29" s="9">
        <v>210010</v>
      </c>
      <c r="D29" s="1" t="s">
        <v>27</v>
      </c>
      <c r="E29" s="1">
        <v>0.1</v>
      </c>
      <c r="F29" s="1">
        <v>1.2</v>
      </c>
      <c r="G29" s="11">
        <v>50.177702799999999</v>
      </c>
      <c r="H29" s="19">
        <v>6.8363360999999996</v>
      </c>
      <c r="I29" s="1" t="s">
        <v>419</v>
      </c>
      <c r="J29" s="1" t="s">
        <v>423</v>
      </c>
      <c r="K29" s="1">
        <v>389</v>
      </c>
      <c r="L29" s="1">
        <v>328</v>
      </c>
      <c r="M29" s="1">
        <f t="shared" si="0"/>
        <v>358.5</v>
      </c>
      <c r="N29" s="4">
        <f t="shared" si="1"/>
        <v>0.84318766066838047</v>
      </c>
      <c r="O29" s="4">
        <f t="shared" si="2"/>
        <v>0.84141629035967425</v>
      </c>
      <c r="P29" s="4">
        <f t="shared" si="3"/>
        <v>0.87266462599716488</v>
      </c>
      <c r="Q29" s="14" t="s">
        <v>47</v>
      </c>
      <c r="R29" s="14" t="s">
        <v>48</v>
      </c>
      <c r="S29" s="14" t="s">
        <v>416</v>
      </c>
      <c r="V29" s="1" t="s">
        <v>51</v>
      </c>
      <c r="W29" s="1">
        <v>500</v>
      </c>
      <c r="X29" s="1" t="s">
        <v>468</v>
      </c>
      <c r="Y29" s="4">
        <f>90/K29</f>
        <v>0.23136246786632392</v>
      </c>
      <c r="AB29" s="1" t="s">
        <v>65</v>
      </c>
      <c r="AC29" s="15">
        <v>94991</v>
      </c>
      <c r="AD29" s="15">
        <v>7945412</v>
      </c>
      <c r="AE29" s="18" t="s">
        <v>417</v>
      </c>
    </row>
    <row r="30" spans="1:31">
      <c r="A30" s="1" t="s">
        <v>469</v>
      </c>
      <c r="B30" s="9" t="s">
        <v>414</v>
      </c>
      <c r="C30" s="9">
        <v>210010</v>
      </c>
      <c r="D30" s="1" t="s">
        <v>27</v>
      </c>
      <c r="E30" s="1">
        <v>0.2</v>
      </c>
      <c r="F30" s="1">
        <v>1.64</v>
      </c>
      <c r="G30" s="11">
        <v>50.176358100000002</v>
      </c>
      <c r="H30" s="19">
        <v>6.8500360999999996</v>
      </c>
      <c r="I30" s="1" t="s">
        <v>415</v>
      </c>
      <c r="J30" s="1" t="s">
        <v>423</v>
      </c>
      <c r="K30" s="1">
        <v>510</v>
      </c>
      <c r="L30" s="1">
        <v>409</v>
      </c>
      <c r="M30" s="1">
        <f t="shared" si="0"/>
        <v>459.5</v>
      </c>
      <c r="N30" s="4">
        <f t="shared" si="1"/>
        <v>0.80196078431372553</v>
      </c>
      <c r="O30" s="4">
        <f t="shared" si="2"/>
        <v>0.97903848114968306</v>
      </c>
      <c r="P30" s="4">
        <f t="shared" si="3"/>
        <v>0.93444159833128904</v>
      </c>
      <c r="Q30" s="14" t="s">
        <v>47</v>
      </c>
      <c r="R30" s="14" t="s">
        <v>48</v>
      </c>
      <c r="S30" s="14" t="s">
        <v>416</v>
      </c>
      <c r="V30" s="1" t="s">
        <v>51</v>
      </c>
      <c r="W30" s="1">
        <v>500</v>
      </c>
      <c r="X30" s="1" t="s">
        <v>402</v>
      </c>
      <c r="Y30" s="4">
        <f>50/K30</f>
        <v>9.8039215686274508E-2</v>
      </c>
      <c r="AB30" s="1" t="s">
        <v>65</v>
      </c>
      <c r="AC30" s="15">
        <v>94991</v>
      </c>
      <c r="AD30" s="15">
        <v>7945412</v>
      </c>
      <c r="AE30" s="18" t="s">
        <v>417</v>
      </c>
    </row>
    <row r="31" spans="1:31">
      <c r="A31" s="1" t="s">
        <v>471</v>
      </c>
      <c r="B31" s="9" t="s">
        <v>414</v>
      </c>
      <c r="C31" s="9">
        <v>210010</v>
      </c>
      <c r="D31" s="1" t="s">
        <v>27</v>
      </c>
      <c r="E31" s="1">
        <v>0.25</v>
      </c>
      <c r="F31" s="1">
        <v>1.82</v>
      </c>
      <c r="G31" s="11">
        <v>50.169412399999999</v>
      </c>
      <c r="H31" s="19">
        <v>6.8581384999999999</v>
      </c>
      <c r="I31" s="1" t="s">
        <v>419</v>
      </c>
      <c r="J31" s="1" t="s">
        <v>423</v>
      </c>
      <c r="K31" s="1">
        <v>620</v>
      </c>
      <c r="L31" s="1">
        <v>497</v>
      </c>
      <c r="M31" s="1">
        <f t="shared" si="0"/>
        <v>558.5</v>
      </c>
      <c r="N31" s="4">
        <f t="shared" si="1"/>
        <v>0.80161290322580647</v>
      </c>
      <c r="O31" s="4">
        <f t="shared" si="2"/>
        <v>0.82806942295471042</v>
      </c>
      <c r="P31" s="4">
        <f t="shared" si="3"/>
        <v>0.94843396135424252</v>
      </c>
      <c r="Q31" s="14" t="s">
        <v>47</v>
      </c>
      <c r="R31" s="14" t="s">
        <v>48</v>
      </c>
      <c r="S31" s="14" t="s">
        <v>416</v>
      </c>
      <c r="V31" s="1" t="s">
        <v>51</v>
      </c>
      <c r="W31" s="1">
        <v>500</v>
      </c>
      <c r="X31" s="1" t="s">
        <v>472</v>
      </c>
      <c r="Y31" s="4">
        <f>100/K31</f>
        <v>0.16129032258064516</v>
      </c>
      <c r="Z31" s="1" t="s">
        <v>473</v>
      </c>
      <c r="AB31" s="1" t="s">
        <v>65</v>
      </c>
      <c r="AC31" s="15">
        <v>94991</v>
      </c>
      <c r="AD31" s="15">
        <v>7945412</v>
      </c>
      <c r="AE31" s="18" t="s">
        <v>474</v>
      </c>
    </row>
    <row r="32" spans="1:31">
      <c r="A32" s="1" t="s">
        <v>437</v>
      </c>
      <c r="B32" s="9" t="s">
        <v>414</v>
      </c>
      <c r="C32" s="9">
        <v>210010</v>
      </c>
      <c r="D32" s="1" t="s">
        <v>27</v>
      </c>
      <c r="E32" s="1">
        <v>0.46</v>
      </c>
      <c r="F32" s="1">
        <v>2.4500000000000002</v>
      </c>
      <c r="G32" s="11">
        <v>50.131346800000003</v>
      </c>
      <c r="H32" s="21">
        <v>6.9255534000000001</v>
      </c>
      <c r="I32" s="1" t="s">
        <v>419</v>
      </c>
      <c r="J32" s="1" t="s">
        <v>94</v>
      </c>
      <c r="K32" s="1">
        <v>971</v>
      </c>
      <c r="L32" s="1">
        <v>899</v>
      </c>
      <c r="M32" s="1">
        <f t="shared" si="0"/>
        <v>935</v>
      </c>
      <c r="N32" s="4">
        <f t="shared" si="1"/>
        <v>0.92584963954685895</v>
      </c>
      <c r="O32" s="4">
        <f t="shared" si="2"/>
        <v>0.62119720141378554</v>
      </c>
      <c r="P32" s="4">
        <f t="shared" si="3"/>
        <v>0.96302048856396816</v>
      </c>
      <c r="Q32" s="14" t="s">
        <v>47</v>
      </c>
      <c r="R32" s="14" t="s">
        <v>48</v>
      </c>
      <c r="S32" s="14" t="s">
        <v>416</v>
      </c>
      <c r="V32" s="1" t="s">
        <v>51</v>
      </c>
      <c r="W32" s="1">
        <v>300</v>
      </c>
      <c r="X32" s="1" t="s">
        <v>97</v>
      </c>
      <c r="Y32" s="4">
        <f>30/K32</f>
        <v>3.0895983522142123E-2</v>
      </c>
      <c r="Z32" s="1" t="s">
        <v>438</v>
      </c>
      <c r="AB32" s="1" t="s">
        <v>65</v>
      </c>
      <c r="AC32" s="15">
        <v>94991</v>
      </c>
      <c r="AD32" s="15">
        <v>7945412</v>
      </c>
      <c r="AE32" s="18" t="s">
        <v>421</v>
      </c>
    </row>
    <row r="33" spans="1:31">
      <c r="A33" s="1" t="s">
        <v>454</v>
      </c>
      <c r="B33" s="9" t="s">
        <v>414</v>
      </c>
      <c r="C33" s="9">
        <v>210010</v>
      </c>
      <c r="D33" s="1" t="s">
        <v>27</v>
      </c>
      <c r="E33" s="1">
        <v>0.4</v>
      </c>
      <c r="F33" s="1">
        <v>2.4500000000000002</v>
      </c>
      <c r="G33" s="11">
        <v>50.123278399999997</v>
      </c>
      <c r="H33" s="19">
        <v>6.9572548000000003</v>
      </c>
      <c r="I33" s="1" t="s">
        <v>415</v>
      </c>
      <c r="J33" s="1" t="s">
        <v>423</v>
      </c>
      <c r="K33" s="1">
        <v>1005</v>
      </c>
      <c r="L33" s="1">
        <v>646</v>
      </c>
      <c r="M33" s="1">
        <f t="shared" si="0"/>
        <v>825.5</v>
      </c>
      <c r="N33" s="4">
        <f t="shared" si="1"/>
        <v>0.64278606965174134</v>
      </c>
      <c r="O33" s="4">
        <f t="shared" si="2"/>
        <v>0.5042408038356132</v>
      </c>
      <c r="P33" s="4">
        <f t="shared" si="3"/>
        <v>0.83740912049040706</v>
      </c>
      <c r="Q33" s="14" t="s">
        <v>47</v>
      </c>
      <c r="R33" s="14" t="s">
        <v>48</v>
      </c>
      <c r="S33" s="14" t="s">
        <v>416</v>
      </c>
      <c r="V33" s="1" t="s">
        <v>51</v>
      </c>
      <c r="W33" s="1">
        <v>400</v>
      </c>
      <c r="X33" s="1" t="s">
        <v>455</v>
      </c>
      <c r="Y33" s="4">
        <f>40/K33</f>
        <v>3.9800995024875621E-2</v>
      </c>
      <c r="AB33" s="1" t="s">
        <v>65</v>
      </c>
      <c r="AC33" s="15">
        <v>94991</v>
      </c>
      <c r="AD33" s="15">
        <v>7945412</v>
      </c>
      <c r="AE33" s="18" t="s">
        <v>417</v>
      </c>
    </row>
    <row r="34" spans="1:31">
      <c r="A34" s="1" t="s">
        <v>413</v>
      </c>
      <c r="B34" s="9" t="s">
        <v>414</v>
      </c>
      <c r="C34" s="9">
        <v>210010</v>
      </c>
      <c r="D34" s="1" t="s">
        <v>27</v>
      </c>
      <c r="E34" s="1">
        <v>1.7000000000000001E-2</v>
      </c>
      <c r="F34" s="1">
        <v>0.49</v>
      </c>
      <c r="G34" s="11">
        <v>50.122916199999999</v>
      </c>
      <c r="H34" s="19">
        <v>6.8722458</v>
      </c>
      <c r="I34" s="1" t="s">
        <v>415</v>
      </c>
      <c r="J34" s="1" t="s">
        <v>94</v>
      </c>
      <c r="K34" s="1">
        <v>185</v>
      </c>
      <c r="L34" s="1">
        <v>130</v>
      </c>
      <c r="M34" s="1">
        <f t="shared" ref="M34:M65" si="4">AVERAGE(K34:L34)</f>
        <v>157.5</v>
      </c>
      <c r="N34" s="4">
        <f t="shared" si="1"/>
        <v>0.70270270270270274</v>
      </c>
      <c r="O34" s="4">
        <f t="shared" ref="O34:O65" si="5">E34/(PI()*((K34/2000)^2))</f>
        <v>0.63243454376910946</v>
      </c>
      <c r="P34" s="4">
        <f t="shared" si="3"/>
        <v>0.88974719052105755</v>
      </c>
      <c r="Q34" s="14" t="s">
        <v>47</v>
      </c>
      <c r="R34" s="14" t="s">
        <v>48</v>
      </c>
      <c r="S34" s="14" t="s">
        <v>416</v>
      </c>
      <c r="V34" s="1" t="s">
        <v>51</v>
      </c>
      <c r="W34" s="1">
        <v>200</v>
      </c>
      <c r="X34" s="1" t="s">
        <v>397</v>
      </c>
      <c r="Y34" s="4">
        <f>30/K34</f>
        <v>0.16216216216216217</v>
      </c>
      <c r="AB34" s="1" t="s">
        <v>65</v>
      </c>
      <c r="AC34" s="15">
        <v>94991</v>
      </c>
      <c r="AD34" s="15">
        <v>7945412</v>
      </c>
      <c r="AE34" s="18" t="s">
        <v>417</v>
      </c>
    </row>
    <row r="35" spans="1:31">
      <c r="A35" s="1" t="s">
        <v>418</v>
      </c>
      <c r="B35" s="9" t="s">
        <v>414</v>
      </c>
      <c r="C35" s="9">
        <v>210010</v>
      </c>
      <c r="D35" s="1" t="s">
        <v>27</v>
      </c>
      <c r="E35" s="1">
        <v>0.05</v>
      </c>
      <c r="F35" s="1">
        <v>0.86</v>
      </c>
      <c r="G35" s="11">
        <v>50.119234900000002</v>
      </c>
      <c r="H35" s="19">
        <v>6.8786917000000001</v>
      </c>
      <c r="I35" s="1" t="s">
        <v>419</v>
      </c>
      <c r="J35" s="1" t="s">
        <v>94</v>
      </c>
      <c r="K35" s="1">
        <v>301</v>
      </c>
      <c r="L35" s="1">
        <v>278</v>
      </c>
      <c r="M35" s="1">
        <f t="shared" si="4"/>
        <v>289.5</v>
      </c>
      <c r="N35" s="4">
        <f t="shared" si="1"/>
        <v>0.92358803986710969</v>
      </c>
      <c r="O35" s="4">
        <f t="shared" si="5"/>
        <v>0.70266307476471723</v>
      </c>
      <c r="P35" s="4">
        <f t="shared" si="3"/>
        <v>0.84953830545965192</v>
      </c>
      <c r="Q35" s="14" t="s">
        <v>47</v>
      </c>
      <c r="R35" s="14" t="s">
        <v>48</v>
      </c>
      <c r="S35" s="14" t="s">
        <v>416</v>
      </c>
      <c r="V35" s="1" t="s">
        <v>51</v>
      </c>
      <c r="W35" s="1">
        <v>200</v>
      </c>
      <c r="X35" s="1" t="s">
        <v>397</v>
      </c>
      <c r="Y35" s="4">
        <f>50/K35</f>
        <v>0.16611295681063123</v>
      </c>
      <c r="Z35" s="1" t="s">
        <v>420</v>
      </c>
      <c r="AB35" s="1" t="s">
        <v>65</v>
      </c>
      <c r="AC35" s="15">
        <v>94991</v>
      </c>
      <c r="AD35" s="15">
        <v>7945412</v>
      </c>
      <c r="AE35" s="18" t="s">
        <v>421</v>
      </c>
    </row>
    <row r="36" spans="1:31">
      <c r="A36" s="1" t="s">
        <v>490</v>
      </c>
      <c r="B36" s="9" t="s">
        <v>414</v>
      </c>
      <c r="C36" s="9">
        <v>210010</v>
      </c>
      <c r="D36" s="1" t="s">
        <v>27</v>
      </c>
      <c r="E36" s="1">
        <v>1.91</v>
      </c>
      <c r="F36" s="1">
        <v>5</v>
      </c>
      <c r="G36" s="11">
        <v>50.0983047</v>
      </c>
      <c r="H36" s="19">
        <v>6.7563979999999999</v>
      </c>
      <c r="I36" s="1" t="s">
        <v>415</v>
      </c>
      <c r="J36" s="1" t="s">
        <v>423</v>
      </c>
      <c r="K36" s="1">
        <v>1685</v>
      </c>
      <c r="L36" s="1">
        <v>1500</v>
      </c>
      <c r="M36" s="1">
        <f t="shared" si="4"/>
        <v>1592.5</v>
      </c>
      <c r="N36" s="4">
        <f t="shared" si="1"/>
        <v>0.89020771513353114</v>
      </c>
      <c r="O36" s="4">
        <f t="shared" si="5"/>
        <v>0.85653216298256063</v>
      </c>
      <c r="P36" s="4">
        <f t="shared" si="3"/>
        <v>0.96007071493704055</v>
      </c>
      <c r="Q36" s="14" t="s">
        <v>47</v>
      </c>
      <c r="R36" s="14" t="s">
        <v>48</v>
      </c>
      <c r="S36" s="14" t="s">
        <v>416</v>
      </c>
      <c r="V36" s="1" t="s">
        <v>51</v>
      </c>
      <c r="W36" s="1">
        <v>500</v>
      </c>
      <c r="X36" s="1" t="s">
        <v>491</v>
      </c>
      <c r="Y36" s="4">
        <f>150/K36</f>
        <v>8.9020771513353122E-2</v>
      </c>
      <c r="Z36" s="1">
        <v>2800</v>
      </c>
      <c r="AB36" s="1" t="s">
        <v>65</v>
      </c>
      <c r="AC36" s="15">
        <v>94991</v>
      </c>
      <c r="AD36" s="15">
        <v>7945412</v>
      </c>
      <c r="AE36" s="18" t="s">
        <v>421</v>
      </c>
    </row>
    <row r="37" spans="1:31">
      <c r="A37" s="1" t="s">
        <v>446</v>
      </c>
      <c r="B37" s="1" t="s">
        <v>414</v>
      </c>
      <c r="C37" s="9">
        <v>210010</v>
      </c>
      <c r="D37" s="1" t="s">
        <v>27</v>
      </c>
      <c r="E37" s="1">
        <v>0.05</v>
      </c>
      <c r="F37" s="1">
        <v>0.81</v>
      </c>
      <c r="G37" s="9">
        <v>50.087982500000003</v>
      </c>
      <c r="H37" s="9">
        <v>6.7771447</v>
      </c>
      <c r="I37" s="1" t="s">
        <v>415</v>
      </c>
      <c r="J37" s="1" t="s">
        <v>94</v>
      </c>
      <c r="K37" s="1">
        <v>278</v>
      </c>
      <c r="L37" s="1">
        <v>252</v>
      </c>
      <c r="M37" s="1">
        <f t="shared" si="4"/>
        <v>265</v>
      </c>
      <c r="N37" s="4">
        <f t="shared" si="1"/>
        <v>0.90647482014388492</v>
      </c>
      <c r="O37" s="4">
        <f t="shared" si="5"/>
        <v>0.82374071265408266</v>
      </c>
      <c r="P37" s="4">
        <f t="shared" si="3"/>
        <v>0.95765665404352762</v>
      </c>
      <c r="Q37" s="1" t="s">
        <v>47</v>
      </c>
      <c r="R37" s="1" t="s">
        <v>48</v>
      </c>
      <c r="S37" s="14" t="s">
        <v>416</v>
      </c>
      <c r="V37" s="1" t="s">
        <v>89</v>
      </c>
      <c r="W37" s="1">
        <v>400</v>
      </c>
      <c r="Z37" s="1" t="s">
        <v>447</v>
      </c>
      <c r="AB37" s="1" t="s">
        <v>65</v>
      </c>
      <c r="AC37" s="15">
        <v>94991</v>
      </c>
      <c r="AD37" s="15">
        <v>7945412</v>
      </c>
      <c r="AE37" s="1" t="s">
        <v>421</v>
      </c>
    </row>
    <row r="38" spans="1:31">
      <c r="A38" s="1" t="s">
        <v>533</v>
      </c>
      <c r="C38" s="1">
        <v>210020</v>
      </c>
      <c r="D38" s="1" t="s">
        <v>27</v>
      </c>
      <c r="E38" s="1">
        <v>0.61</v>
      </c>
      <c r="F38" s="1">
        <v>2.82</v>
      </c>
      <c r="G38" s="11">
        <v>45.980653799999999</v>
      </c>
      <c r="H38" s="19">
        <v>2.9918813000000002</v>
      </c>
      <c r="I38" s="1" t="s">
        <v>514</v>
      </c>
      <c r="J38" s="1" t="s">
        <v>94</v>
      </c>
      <c r="K38" s="1">
        <v>939</v>
      </c>
      <c r="L38" s="1">
        <v>824</v>
      </c>
      <c r="M38" s="1">
        <f t="shared" si="4"/>
        <v>881.5</v>
      </c>
      <c r="N38" s="4">
        <f t="shared" si="1"/>
        <v>0.87752928647497341</v>
      </c>
      <c r="O38" s="4">
        <f t="shared" si="5"/>
        <v>0.88086381325663032</v>
      </c>
      <c r="P38" s="4">
        <f t="shared" si="3"/>
        <v>0.96392108982937164</v>
      </c>
      <c r="Q38" s="14" t="s">
        <v>47</v>
      </c>
      <c r="R38" s="14" t="s">
        <v>48</v>
      </c>
      <c r="S38" s="22" t="s">
        <v>515</v>
      </c>
      <c r="V38" s="1" t="s">
        <v>89</v>
      </c>
      <c r="W38" s="1">
        <v>713</v>
      </c>
      <c r="X38" s="1">
        <v>155</v>
      </c>
      <c r="Y38" s="4">
        <f>X38/K38</f>
        <v>0.1650692225772098</v>
      </c>
      <c r="Z38" s="1" t="s">
        <v>534</v>
      </c>
      <c r="AA38" s="1" t="s">
        <v>53</v>
      </c>
      <c r="AB38" s="1" t="s">
        <v>65</v>
      </c>
      <c r="AC38" s="15">
        <v>323392</v>
      </c>
      <c r="AD38" s="15">
        <v>1577243</v>
      </c>
      <c r="AE38" s="1" t="s">
        <v>535</v>
      </c>
    </row>
    <row r="39" spans="1:31">
      <c r="A39" s="1" t="s">
        <v>537</v>
      </c>
      <c r="C39" s="1">
        <v>210020</v>
      </c>
      <c r="D39" s="1" t="s">
        <v>27</v>
      </c>
      <c r="E39" s="1">
        <v>0.65</v>
      </c>
      <c r="F39" s="1">
        <v>3.1</v>
      </c>
      <c r="G39" s="11">
        <v>45.844019600000003</v>
      </c>
      <c r="H39" s="21">
        <v>2.8397312000000001</v>
      </c>
      <c r="I39" s="1" t="s">
        <v>514</v>
      </c>
      <c r="J39" s="1" t="s">
        <v>423</v>
      </c>
      <c r="K39" s="1">
        <v>1016</v>
      </c>
      <c r="L39" s="1">
        <v>780</v>
      </c>
      <c r="M39" s="1">
        <f t="shared" si="4"/>
        <v>898</v>
      </c>
      <c r="N39" s="4">
        <f t="shared" si="1"/>
        <v>0.76771653543307083</v>
      </c>
      <c r="O39" s="4">
        <f t="shared" si="5"/>
        <v>0.80174462931468138</v>
      </c>
      <c r="P39" s="4">
        <f t="shared" si="3"/>
        <v>0.84996263260493876</v>
      </c>
      <c r="Q39" s="14" t="s">
        <v>47</v>
      </c>
      <c r="R39" s="14" t="s">
        <v>48</v>
      </c>
      <c r="S39" s="22" t="s">
        <v>515</v>
      </c>
      <c r="V39" s="1" t="s">
        <v>89</v>
      </c>
      <c r="W39" s="1">
        <v>750</v>
      </c>
      <c r="X39" s="1">
        <v>130</v>
      </c>
      <c r="Y39" s="4">
        <f>X39/K39</f>
        <v>0.12795275590551181</v>
      </c>
      <c r="Z39" s="1">
        <v>10000</v>
      </c>
      <c r="AB39" s="1" t="s">
        <v>65</v>
      </c>
      <c r="AC39" s="15">
        <v>323392</v>
      </c>
      <c r="AD39" s="15">
        <v>1577243</v>
      </c>
      <c r="AE39" s="1" t="s">
        <v>417</v>
      </c>
    </row>
    <row r="40" spans="1:31">
      <c r="A40" s="9" t="s">
        <v>395</v>
      </c>
      <c r="B40" s="9"/>
      <c r="C40" s="9"/>
      <c r="D40" s="1" t="s">
        <v>27</v>
      </c>
      <c r="E40" s="1">
        <v>0.31</v>
      </c>
      <c r="F40" s="1">
        <v>2</v>
      </c>
      <c r="G40" s="11">
        <v>45.8046632</v>
      </c>
      <c r="H40" s="19">
        <v>-122.4939546</v>
      </c>
      <c r="I40" s="9" t="s">
        <v>28</v>
      </c>
      <c r="J40" s="1" t="s">
        <v>166</v>
      </c>
      <c r="K40" s="1">
        <v>646</v>
      </c>
      <c r="L40" s="1">
        <v>634</v>
      </c>
      <c r="M40" s="1">
        <f t="shared" si="4"/>
        <v>640</v>
      </c>
      <c r="N40" s="4">
        <f t="shared" si="1"/>
        <v>0.98142414860681115</v>
      </c>
      <c r="O40" s="4">
        <f t="shared" si="5"/>
        <v>0.94581626122147355</v>
      </c>
      <c r="P40" s="4">
        <f t="shared" si="3"/>
        <v>0.9738937226128358</v>
      </c>
      <c r="Q40" s="14" t="s">
        <v>30</v>
      </c>
      <c r="R40" s="14" t="s">
        <v>31</v>
      </c>
      <c r="S40" s="14" t="s">
        <v>396</v>
      </c>
      <c r="V40" s="1" t="s">
        <v>34</v>
      </c>
      <c r="W40" s="1">
        <v>150</v>
      </c>
      <c r="X40" s="1" t="s">
        <v>397</v>
      </c>
      <c r="Y40" s="4">
        <f>50/K40</f>
        <v>7.7399380804953566E-2</v>
      </c>
      <c r="AB40" s="1" t="s">
        <v>65</v>
      </c>
      <c r="AC40" s="15" t="s">
        <v>36</v>
      </c>
      <c r="AD40" s="15" t="s">
        <v>36</v>
      </c>
      <c r="AE40" s="1" t="s">
        <v>398</v>
      </c>
    </row>
    <row r="41" spans="1:31">
      <c r="A41" s="1" t="s">
        <v>563</v>
      </c>
      <c r="C41" s="1">
        <v>210020</v>
      </c>
      <c r="D41" s="1" t="s">
        <v>27</v>
      </c>
      <c r="E41" s="1">
        <v>0.64</v>
      </c>
      <c r="F41" s="1">
        <v>2.9</v>
      </c>
      <c r="G41" s="11">
        <v>45.495590399999998</v>
      </c>
      <c r="H41" s="19">
        <v>2.8876813000000001</v>
      </c>
      <c r="I41" s="1" t="s">
        <v>514</v>
      </c>
      <c r="J41" s="1" t="s">
        <v>94</v>
      </c>
      <c r="K41" s="1">
        <v>931</v>
      </c>
      <c r="L41" s="1">
        <v>880</v>
      </c>
      <c r="M41" s="1">
        <f t="shared" si="4"/>
        <v>905.5</v>
      </c>
      <c r="N41" s="4">
        <f t="shared" si="1"/>
        <v>0.94522019334049412</v>
      </c>
      <c r="O41" s="4">
        <f t="shared" si="5"/>
        <v>0.94013610283631144</v>
      </c>
      <c r="P41" s="4">
        <f t="shared" si="3"/>
        <v>0.95629930953506193</v>
      </c>
      <c r="Q41" s="14" t="s">
        <v>47</v>
      </c>
      <c r="R41" s="14" t="s">
        <v>48</v>
      </c>
      <c r="S41" s="22" t="s">
        <v>515</v>
      </c>
      <c r="V41" s="1" t="s">
        <v>89</v>
      </c>
      <c r="W41" s="1">
        <v>1200</v>
      </c>
      <c r="X41" s="1">
        <v>90</v>
      </c>
      <c r="Y41" s="4">
        <f>X41/K41</f>
        <v>9.6670247046186902E-2</v>
      </c>
      <c r="Z41" s="1">
        <v>10000</v>
      </c>
      <c r="AB41" s="1" t="s">
        <v>65</v>
      </c>
      <c r="AC41" s="15">
        <v>323392</v>
      </c>
      <c r="AD41" s="15">
        <v>1577243</v>
      </c>
      <c r="AE41" s="1" t="s">
        <v>564</v>
      </c>
    </row>
    <row r="42" spans="1:31">
      <c r="A42" s="1" t="s">
        <v>558</v>
      </c>
      <c r="C42" s="1">
        <v>210020</v>
      </c>
      <c r="D42" s="1" t="s">
        <v>27</v>
      </c>
      <c r="E42" s="1">
        <v>0.65</v>
      </c>
      <c r="F42" s="1">
        <v>3.1</v>
      </c>
      <c r="G42" s="11">
        <v>45.4594533</v>
      </c>
      <c r="H42" s="21">
        <v>2.8311644999999999</v>
      </c>
      <c r="I42" s="1" t="s">
        <v>514</v>
      </c>
      <c r="J42" s="1" t="s">
        <v>94</v>
      </c>
      <c r="K42" s="1">
        <v>1012</v>
      </c>
      <c r="L42" s="1">
        <v>921</v>
      </c>
      <c r="M42" s="1">
        <f t="shared" si="4"/>
        <v>966.5</v>
      </c>
      <c r="N42" s="4">
        <f t="shared" si="1"/>
        <v>0.91007905138339917</v>
      </c>
      <c r="O42" s="4">
        <f t="shared" si="5"/>
        <v>0.80809505702113749</v>
      </c>
      <c r="P42" s="4">
        <f t="shared" si="3"/>
        <v>0.84996263260493876</v>
      </c>
      <c r="Q42" s="14" t="s">
        <v>47</v>
      </c>
      <c r="R42" s="14" t="s">
        <v>48</v>
      </c>
      <c r="S42" s="22" t="s">
        <v>515</v>
      </c>
      <c r="V42" s="1" t="s">
        <v>89</v>
      </c>
      <c r="W42" s="1">
        <v>1100</v>
      </c>
      <c r="X42" s="1" t="s">
        <v>559</v>
      </c>
      <c r="Y42" s="4">
        <f>60/K42</f>
        <v>5.9288537549407112E-2</v>
      </c>
      <c r="Z42" s="1">
        <v>10000</v>
      </c>
      <c r="AB42" s="1" t="s">
        <v>65</v>
      </c>
      <c r="AC42" s="15">
        <v>323392</v>
      </c>
      <c r="AD42" s="15">
        <v>1577243</v>
      </c>
      <c r="AE42" s="18" t="s">
        <v>417</v>
      </c>
    </row>
    <row r="43" spans="1:31">
      <c r="A43" s="1" t="s">
        <v>543</v>
      </c>
      <c r="C43" s="1">
        <v>210020</v>
      </c>
      <c r="D43" s="1" t="s">
        <v>27</v>
      </c>
      <c r="E43" s="1">
        <v>0.15</v>
      </c>
      <c r="F43" s="1">
        <v>1.42</v>
      </c>
      <c r="G43" s="11">
        <v>45.387375499999997</v>
      </c>
      <c r="H43" s="21">
        <v>2.9167011999999999</v>
      </c>
      <c r="I43" s="1" t="s">
        <v>544</v>
      </c>
      <c r="J43" s="1" t="s">
        <v>423</v>
      </c>
      <c r="K43" s="1">
        <v>494</v>
      </c>
      <c r="L43" s="1">
        <v>386</v>
      </c>
      <c r="M43" s="1">
        <f t="shared" si="4"/>
        <v>440</v>
      </c>
      <c r="N43" s="4">
        <f t="shared" si="1"/>
        <v>0.78137651821862353</v>
      </c>
      <c r="O43" s="4">
        <f t="shared" si="5"/>
        <v>0.78261376071675648</v>
      </c>
      <c r="P43" s="4">
        <f t="shared" si="3"/>
        <v>0.93481233493050786</v>
      </c>
      <c r="Q43" s="14" t="s">
        <v>47</v>
      </c>
      <c r="R43" s="14" t="s">
        <v>48</v>
      </c>
      <c r="S43" s="22" t="s">
        <v>515</v>
      </c>
      <c r="V43" s="1" t="s">
        <v>89</v>
      </c>
      <c r="W43" s="1">
        <v>1000</v>
      </c>
      <c r="Z43" s="1">
        <v>10000</v>
      </c>
      <c r="AB43" s="1" t="s">
        <v>65</v>
      </c>
      <c r="AC43" s="15">
        <v>323392</v>
      </c>
      <c r="AD43" s="15">
        <v>1577243</v>
      </c>
      <c r="AE43" s="18" t="s">
        <v>417</v>
      </c>
    </row>
    <row r="44" spans="1:31">
      <c r="A44" s="1" t="s">
        <v>513</v>
      </c>
      <c r="C44" s="1">
        <v>210020</v>
      </c>
      <c r="D44" s="1" t="s">
        <v>27</v>
      </c>
      <c r="E44" s="1">
        <v>1</v>
      </c>
      <c r="F44" s="1">
        <v>3.66</v>
      </c>
      <c r="G44" s="11">
        <v>45.241846000000002</v>
      </c>
      <c r="H44" s="9">
        <v>3.4852853000000001</v>
      </c>
      <c r="I44" s="1" t="s">
        <v>514</v>
      </c>
      <c r="J44" s="1" t="s">
        <v>262</v>
      </c>
      <c r="K44" s="1">
        <v>1211</v>
      </c>
      <c r="L44" s="1">
        <v>1172</v>
      </c>
      <c r="M44" s="1">
        <f t="shared" si="4"/>
        <v>1191.5</v>
      </c>
      <c r="N44" s="4">
        <f t="shared" si="1"/>
        <v>0.96779521056977702</v>
      </c>
      <c r="O44" s="4">
        <f t="shared" si="5"/>
        <v>0.86820409986298352</v>
      </c>
      <c r="P44" s="4">
        <f t="shared" si="3"/>
        <v>0.9380968836303839</v>
      </c>
      <c r="Q44" s="1" t="s">
        <v>47</v>
      </c>
      <c r="R44" s="1" t="s">
        <v>48</v>
      </c>
      <c r="S44" s="22" t="s">
        <v>515</v>
      </c>
      <c r="V44" s="1" t="s">
        <v>51</v>
      </c>
      <c r="W44" s="1">
        <v>600</v>
      </c>
      <c r="AB44" s="1" t="s">
        <v>65</v>
      </c>
      <c r="AC44" s="15">
        <v>323392</v>
      </c>
      <c r="AD44" s="15">
        <v>1577243</v>
      </c>
      <c r="AE44" s="18" t="s">
        <v>417</v>
      </c>
    </row>
    <row r="45" spans="1:31">
      <c r="A45" s="1" t="s">
        <v>562</v>
      </c>
      <c r="C45" s="1">
        <v>210020</v>
      </c>
      <c r="D45" s="1" t="s">
        <v>27</v>
      </c>
      <c r="E45" s="1">
        <v>0.41</v>
      </c>
      <c r="F45" s="1">
        <v>2.37</v>
      </c>
      <c r="G45" s="9">
        <v>44.9815592</v>
      </c>
      <c r="H45" s="9">
        <v>4.1696628000000002</v>
      </c>
      <c r="I45" s="1" t="s">
        <v>514</v>
      </c>
      <c r="J45" s="1" t="s">
        <v>561</v>
      </c>
      <c r="K45" s="1">
        <v>846</v>
      </c>
      <c r="L45" s="1">
        <v>714</v>
      </c>
      <c r="M45" s="1">
        <f t="shared" si="4"/>
        <v>780</v>
      </c>
      <c r="N45" s="4">
        <f t="shared" si="1"/>
        <v>0.84397163120567376</v>
      </c>
      <c r="O45" s="4">
        <f t="shared" si="5"/>
        <v>0.72937899018803098</v>
      </c>
      <c r="P45" s="4">
        <f t="shared" si="3"/>
        <v>0.91726965975667363</v>
      </c>
      <c r="Q45" s="1" t="s">
        <v>47</v>
      </c>
      <c r="R45" s="1" t="s">
        <v>48</v>
      </c>
      <c r="S45" s="22" t="s">
        <v>515</v>
      </c>
      <c r="V45" s="1" t="s">
        <v>89</v>
      </c>
      <c r="W45" s="1">
        <v>1200</v>
      </c>
      <c r="AB45" s="1" t="s">
        <v>65</v>
      </c>
      <c r="AC45" s="15">
        <v>323392</v>
      </c>
      <c r="AD45" s="15">
        <v>1577243</v>
      </c>
      <c r="AE45" s="18" t="s">
        <v>417</v>
      </c>
    </row>
    <row r="46" spans="1:31">
      <c r="A46" s="1" t="s">
        <v>565</v>
      </c>
      <c r="C46" s="1">
        <v>210020</v>
      </c>
      <c r="D46" s="1" t="s">
        <v>27</v>
      </c>
      <c r="E46" s="1">
        <v>0.95</v>
      </c>
      <c r="F46" s="1">
        <v>3.57</v>
      </c>
      <c r="G46" s="9">
        <v>44.909337000000001</v>
      </c>
      <c r="H46" s="9">
        <v>3.7895954999999999</v>
      </c>
      <c r="I46" s="1" t="s">
        <v>514</v>
      </c>
      <c r="J46" s="1" t="s">
        <v>561</v>
      </c>
      <c r="K46" s="1">
        <v>1207</v>
      </c>
      <c r="L46" s="1">
        <v>1011</v>
      </c>
      <c r="M46" s="1">
        <f t="shared" si="4"/>
        <v>1109</v>
      </c>
      <c r="N46" s="4">
        <f t="shared" si="1"/>
        <v>0.83761391880695946</v>
      </c>
      <c r="O46" s="4">
        <f t="shared" si="5"/>
        <v>0.83026968992558903</v>
      </c>
      <c r="P46" s="4">
        <f t="shared" si="3"/>
        <v>0.93669248747665446</v>
      </c>
      <c r="Q46" s="1" t="s">
        <v>47</v>
      </c>
      <c r="R46" s="1" t="s">
        <v>48</v>
      </c>
      <c r="S46" s="22" t="s">
        <v>515</v>
      </c>
      <c r="V46" s="1" t="s">
        <v>89</v>
      </c>
      <c r="W46" s="1">
        <v>1200</v>
      </c>
      <c r="AB46" s="1" t="s">
        <v>65</v>
      </c>
      <c r="AC46" s="15">
        <v>323392</v>
      </c>
      <c r="AD46" s="15">
        <v>1577243</v>
      </c>
      <c r="AE46" s="18" t="s">
        <v>417</v>
      </c>
    </row>
    <row r="47" spans="1:31">
      <c r="A47" s="1" t="s">
        <v>560</v>
      </c>
      <c r="C47" s="1">
        <v>210020</v>
      </c>
      <c r="D47" s="1" t="s">
        <v>27</v>
      </c>
      <c r="E47" s="1">
        <v>1.27</v>
      </c>
      <c r="F47" s="1">
        <v>4.0999999999999996</v>
      </c>
      <c r="G47" s="9">
        <v>44.817034200000002</v>
      </c>
      <c r="H47" s="9">
        <v>4.0713131000000002</v>
      </c>
      <c r="I47" s="1" t="s">
        <v>514</v>
      </c>
      <c r="J47" s="1" t="s">
        <v>561</v>
      </c>
      <c r="K47" s="1">
        <v>1432</v>
      </c>
      <c r="L47" s="1">
        <v>1239</v>
      </c>
      <c r="M47" s="1">
        <f t="shared" si="4"/>
        <v>1335.5</v>
      </c>
      <c r="N47" s="4">
        <f t="shared" si="1"/>
        <v>0.86522346368715086</v>
      </c>
      <c r="O47" s="4">
        <f t="shared" si="5"/>
        <v>0.78854739913980165</v>
      </c>
      <c r="P47" s="4">
        <f t="shared" si="3"/>
        <v>0.94939266390458965</v>
      </c>
      <c r="Q47" s="1" t="s">
        <v>47</v>
      </c>
      <c r="R47" s="1" t="s">
        <v>48</v>
      </c>
      <c r="S47" s="1" t="s">
        <v>515</v>
      </c>
      <c r="V47" s="1" t="s">
        <v>89</v>
      </c>
      <c r="W47" s="1">
        <v>1100</v>
      </c>
      <c r="AB47" s="1" t="s">
        <v>65</v>
      </c>
      <c r="AC47" s="15">
        <v>323392</v>
      </c>
      <c r="AD47" s="15">
        <v>1577243</v>
      </c>
      <c r="AE47" s="18" t="s">
        <v>417</v>
      </c>
    </row>
    <row r="48" spans="1:31">
      <c r="A48" s="9" t="s">
        <v>566</v>
      </c>
      <c r="C48" s="9">
        <v>322030</v>
      </c>
      <c r="D48" s="1" t="s">
        <v>27</v>
      </c>
      <c r="E48" s="1">
        <v>0.44</v>
      </c>
      <c r="F48" s="1">
        <v>2.61</v>
      </c>
      <c r="G48" s="11">
        <v>44.412238199999997</v>
      </c>
      <c r="H48" s="19">
        <v>-121.7692706</v>
      </c>
      <c r="I48" s="9" t="s">
        <v>28</v>
      </c>
      <c r="J48" s="1" t="s">
        <v>187</v>
      </c>
      <c r="K48" s="1">
        <v>1055</v>
      </c>
      <c r="L48" s="1">
        <v>545</v>
      </c>
      <c r="M48" s="1">
        <f t="shared" si="4"/>
        <v>800</v>
      </c>
      <c r="N48" s="4">
        <f t="shared" si="1"/>
        <v>0.51658767772511849</v>
      </c>
      <c r="O48" s="4">
        <f t="shared" si="5"/>
        <v>0.50333586368991856</v>
      </c>
      <c r="P48" s="4">
        <f t="shared" si="3"/>
        <v>0.8116737966732781</v>
      </c>
      <c r="Q48" s="14" t="s">
        <v>30</v>
      </c>
      <c r="R48" s="14" t="s">
        <v>31</v>
      </c>
      <c r="S48" s="14" t="s">
        <v>396</v>
      </c>
      <c r="V48" s="1" t="s">
        <v>34</v>
      </c>
      <c r="W48" s="1">
        <v>1230</v>
      </c>
      <c r="X48" s="1" t="s">
        <v>97</v>
      </c>
      <c r="Y48" s="4">
        <f>30/K48</f>
        <v>2.843601895734597E-2</v>
      </c>
      <c r="Z48" s="1" t="s">
        <v>567</v>
      </c>
      <c r="AA48" s="1" t="s">
        <v>121</v>
      </c>
      <c r="AB48" s="1" t="s">
        <v>65</v>
      </c>
      <c r="AC48" s="15" t="s">
        <v>36</v>
      </c>
      <c r="AD48" s="15" t="s">
        <v>36</v>
      </c>
      <c r="AE48" s="1" t="s">
        <v>568</v>
      </c>
    </row>
    <row r="49" spans="1:32" ht="15" customHeight="1">
      <c r="A49" s="9" t="s">
        <v>738</v>
      </c>
      <c r="B49" s="9"/>
      <c r="C49" s="9"/>
      <c r="D49" s="9" t="s">
        <v>27</v>
      </c>
      <c r="E49" s="1">
        <v>0.49</v>
      </c>
      <c r="F49" s="1">
        <v>2.5099999999999998</v>
      </c>
      <c r="G49" s="11">
        <v>43.763352500000003</v>
      </c>
      <c r="H49" s="21">
        <v>-121.7655041</v>
      </c>
      <c r="I49" s="9" t="s">
        <v>28</v>
      </c>
      <c r="J49" s="1" t="s">
        <v>166</v>
      </c>
      <c r="K49" s="1">
        <v>817</v>
      </c>
      <c r="L49" s="1">
        <v>760</v>
      </c>
      <c r="M49" s="1">
        <f t="shared" si="4"/>
        <v>788.5</v>
      </c>
      <c r="N49" s="4">
        <f t="shared" si="1"/>
        <v>0.93023255813953487</v>
      </c>
      <c r="O49" s="4">
        <f t="shared" si="5"/>
        <v>0.93467813989478443</v>
      </c>
      <c r="P49" s="4">
        <f t="shared" si="3"/>
        <v>0.97736886732527994</v>
      </c>
      <c r="Q49" s="14" t="s">
        <v>30</v>
      </c>
      <c r="R49" s="14" t="s">
        <v>31</v>
      </c>
      <c r="S49" s="14" t="s">
        <v>32</v>
      </c>
      <c r="V49" s="1" t="s">
        <v>34</v>
      </c>
      <c r="W49" s="1">
        <v>1500</v>
      </c>
      <c r="X49" s="1">
        <v>34</v>
      </c>
      <c r="Y49" s="4">
        <f>X49/K49</f>
        <v>4.1615667074663402E-2</v>
      </c>
      <c r="AB49" s="1" t="s">
        <v>65</v>
      </c>
      <c r="AC49" s="15" t="s">
        <v>36</v>
      </c>
      <c r="AD49" s="15" t="s">
        <v>36</v>
      </c>
      <c r="AE49" s="18" t="s">
        <v>398</v>
      </c>
    </row>
    <row r="50" spans="1:32">
      <c r="A50" s="9" t="s">
        <v>587</v>
      </c>
      <c r="B50" s="9"/>
      <c r="C50" s="9"/>
      <c r="D50" s="9" t="s">
        <v>27</v>
      </c>
      <c r="E50" s="1">
        <v>0.75</v>
      </c>
      <c r="F50" s="1">
        <v>3.15</v>
      </c>
      <c r="G50" s="11">
        <v>43.746485700000001</v>
      </c>
      <c r="H50" s="19">
        <v>-121.7663732</v>
      </c>
      <c r="I50" s="9" t="s">
        <v>28</v>
      </c>
      <c r="J50" s="1" t="s">
        <v>166</v>
      </c>
      <c r="K50" s="1">
        <v>1047</v>
      </c>
      <c r="L50" s="1">
        <v>993</v>
      </c>
      <c r="M50" s="1">
        <f t="shared" si="4"/>
        <v>1020</v>
      </c>
      <c r="N50" s="4">
        <f t="shared" si="1"/>
        <v>0.9484240687679083</v>
      </c>
      <c r="O50" s="4">
        <f t="shared" si="5"/>
        <v>0.87112006793537744</v>
      </c>
      <c r="P50" s="4">
        <f t="shared" si="3"/>
        <v>0.94983904870439684</v>
      </c>
      <c r="Q50" s="14" t="s">
        <v>30</v>
      </c>
      <c r="R50" s="14" t="s">
        <v>31</v>
      </c>
      <c r="S50" s="14" t="s">
        <v>32</v>
      </c>
      <c r="V50" s="1" t="s">
        <v>34</v>
      </c>
      <c r="W50" s="1">
        <v>1400</v>
      </c>
      <c r="X50" s="1">
        <v>105</v>
      </c>
      <c r="Y50" s="4">
        <f>X50/K50</f>
        <v>0.10028653295128939</v>
      </c>
      <c r="AB50" s="1" t="s">
        <v>65</v>
      </c>
      <c r="AC50" s="15" t="s">
        <v>36</v>
      </c>
      <c r="AD50" s="15" t="s">
        <v>36</v>
      </c>
      <c r="AE50" s="18" t="s">
        <v>398</v>
      </c>
    </row>
    <row r="51" spans="1:32">
      <c r="A51" s="9" t="s">
        <v>576</v>
      </c>
      <c r="B51" s="9"/>
      <c r="C51" s="9"/>
      <c r="D51" s="9" t="s">
        <v>27</v>
      </c>
      <c r="E51" s="1">
        <v>1.26</v>
      </c>
      <c r="F51" s="1">
        <v>4.59</v>
      </c>
      <c r="G51" s="11">
        <v>43.725633600000002</v>
      </c>
      <c r="H51" s="19" t="s">
        <v>577</v>
      </c>
      <c r="I51" s="9" t="s">
        <v>28</v>
      </c>
      <c r="J51" s="1" t="s">
        <v>166</v>
      </c>
      <c r="K51" s="1">
        <v>1467</v>
      </c>
      <c r="L51" s="1">
        <v>1143</v>
      </c>
      <c r="M51" s="1">
        <f t="shared" si="4"/>
        <v>1305</v>
      </c>
      <c r="N51" s="4">
        <f t="shared" si="1"/>
        <v>0.77914110429447858</v>
      </c>
      <c r="O51" s="4">
        <f t="shared" si="5"/>
        <v>0.74545329043840891</v>
      </c>
      <c r="P51" s="4">
        <f t="shared" si="3"/>
        <v>0.75154508351928062</v>
      </c>
      <c r="Q51" s="14" t="s">
        <v>30</v>
      </c>
      <c r="R51" s="14" t="s">
        <v>31</v>
      </c>
      <c r="S51" s="14" t="s">
        <v>32</v>
      </c>
      <c r="T51" s="1" t="s">
        <v>67</v>
      </c>
      <c r="V51" s="1" t="s">
        <v>34</v>
      </c>
      <c r="W51" s="1">
        <v>1300</v>
      </c>
      <c r="X51" s="1" t="s">
        <v>578</v>
      </c>
      <c r="Y51" s="4">
        <f>33/K51</f>
        <v>2.2494887525562373E-2</v>
      </c>
      <c r="AB51" s="1" t="s">
        <v>65</v>
      </c>
      <c r="AC51" s="15" t="s">
        <v>36</v>
      </c>
      <c r="AD51" s="15" t="s">
        <v>36</v>
      </c>
      <c r="AE51" s="18" t="s">
        <v>398</v>
      </c>
    </row>
    <row r="52" spans="1:32">
      <c r="A52" s="9" t="s">
        <v>573</v>
      </c>
      <c r="B52" s="9"/>
      <c r="C52" s="9"/>
      <c r="D52" s="1" t="s">
        <v>27</v>
      </c>
      <c r="E52" s="1">
        <v>0.7</v>
      </c>
      <c r="F52" s="1">
        <v>3</v>
      </c>
      <c r="G52" s="11">
        <v>43.7136785</v>
      </c>
      <c r="H52" s="19" t="s">
        <v>574</v>
      </c>
      <c r="I52" s="9" t="s">
        <v>28</v>
      </c>
      <c r="J52" s="1" t="s">
        <v>166</v>
      </c>
      <c r="K52" s="1">
        <v>1124</v>
      </c>
      <c r="L52" s="1">
        <v>898</v>
      </c>
      <c r="M52" s="1">
        <f t="shared" si="4"/>
        <v>1011</v>
      </c>
      <c r="N52" s="4">
        <f t="shared" si="1"/>
        <v>0.79893238434163705</v>
      </c>
      <c r="O52" s="4">
        <f t="shared" si="5"/>
        <v>0.70546510406610041</v>
      </c>
      <c r="P52" s="4">
        <f t="shared" si="3"/>
        <v>0.97738438111682446</v>
      </c>
      <c r="Q52" s="14" t="s">
        <v>30</v>
      </c>
      <c r="R52" s="14" t="s">
        <v>31</v>
      </c>
      <c r="S52" s="14" t="s">
        <v>32</v>
      </c>
      <c r="V52" s="1" t="s">
        <v>34</v>
      </c>
      <c r="W52" s="1">
        <v>1300</v>
      </c>
      <c r="X52" s="1" t="s">
        <v>575</v>
      </c>
      <c r="Y52" s="4">
        <f>66/K52</f>
        <v>5.8718861209964411E-2</v>
      </c>
      <c r="AB52" s="1" t="s">
        <v>65</v>
      </c>
      <c r="AC52" s="15" t="s">
        <v>36</v>
      </c>
      <c r="AD52" s="15" t="s">
        <v>36</v>
      </c>
      <c r="AE52" s="18" t="s">
        <v>219</v>
      </c>
    </row>
    <row r="53" spans="1:32">
      <c r="A53" s="9" t="s">
        <v>26</v>
      </c>
      <c r="B53" s="9"/>
      <c r="C53" s="9">
        <v>322825</v>
      </c>
      <c r="D53" s="1" t="s">
        <v>27</v>
      </c>
      <c r="E53" s="1">
        <v>4.3</v>
      </c>
      <c r="F53" s="1">
        <v>7.54</v>
      </c>
      <c r="G53" s="11">
        <v>43.422481500000004</v>
      </c>
      <c r="H53" s="19">
        <v>-121.31166709999999</v>
      </c>
      <c r="I53" s="9" t="s">
        <v>28</v>
      </c>
      <c r="J53" s="1" t="s">
        <v>29</v>
      </c>
      <c r="K53" s="1">
        <v>2646</v>
      </c>
      <c r="L53" s="1">
        <v>2112</v>
      </c>
      <c r="M53" s="1">
        <f t="shared" si="4"/>
        <v>2379</v>
      </c>
      <c r="N53" s="4">
        <f t="shared" si="1"/>
        <v>0.79818594104308394</v>
      </c>
      <c r="O53" s="4">
        <f t="shared" si="5"/>
        <v>0.78198584985468444</v>
      </c>
      <c r="P53" s="4">
        <f t="shared" si="3"/>
        <v>0.95046390324536933</v>
      </c>
      <c r="Q53" s="14" t="s">
        <v>30</v>
      </c>
      <c r="R53" s="14" t="s">
        <v>31</v>
      </c>
      <c r="S53" s="14" t="s">
        <v>32</v>
      </c>
      <c r="U53" s="1" t="s">
        <v>33</v>
      </c>
      <c r="V53" s="1" t="s">
        <v>34</v>
      </c>
      <c r="W53" s="1">
        <v>1400</v>
      </c>
      <c r="X53" s="1" t="s">
        <v>35</v>
      </c>
      <c r="Y53" s="4">
        <f>160/K53</f>
        <v>6.0468631897203327E-2</v>
      </c>
      <c r="AB53" s="1" t="s">
        <v>65</v>
      </c>
      <c r="AC53" s="15" t="s">
        <v>36</v>
      </c>
      <c r="AD53" s="15" t="s">
        <v>36</v>
      </c>
      <c r="AE53" s="1" t="s">
        <v>37</v>
      </c>
    </row>
    <row r="54" spans="1:32" ht="15" customHeight="1">
      <c r="A54" s="9" t="s">
        <v>73</v>
      </c>
      <c r="B54" s="9"/>
      <c r="C54" s="9">
        <v>322825</v>
      </c>
      <c r="D54" s="1" t="s">
        <v>27</v>
      </c>
      <c r="E54" s="10">
        <v>1.85</v>
      </c>
      <c r="F54" s="1">
        <v>4.88</v>
      </c>
      <c r="G54" s="11">
        <v>43.410377199999999</v>
      </c>
      <c r="H54" s="19">
        <v>-121.197923</v>
      </c>
      <c r="I54" s="9" t="s">
        <v>28</v>
      </c>
      <c r="J54" s="1" t="s">
        <v>29</v>
      </c>
      <c r="K54" s="1">
        <v>1640</v>
      </c>
      <c r="L54" s="1">
        <v>1399</v>
      </c>
      <c r="M54" s="1">
        <f t="shared" si="4"/>
        <v>1519.5</v>
      </c>
      <c r="N54" s="4">
        <f t="shared" si="1"/>
        <v>0.85304878048780486</v>
      </c>
      <c r="O54" s="4">
        <f t="shared" si="5"/>
        <v>0.87577824128496862</v>
      </c>
      <c r="P54" s="4">
        <f t="shared" si="3"/>
        <v>0.97620706952786851</v>
      </c>
      <c r="Q54" s="14" t="s">
        <v>30</v>
      </c>
      <c r="R54" s="14" t="s">
        <v>31</v>
      </c>
      <c r="S54" s="14" t="s">
        <v>32</v>
      </c>
      <c r="U54" s="1" t="s">
        <v>74</v>
      </c>
      <c r="V54" s="1" t="s">
        <v>34</v>
      </c>
      <c r="W54" s="1">
        <v>1300</v>
      </c>
      <c r="X54" s="1">
        <v>150</v>
      </c>
      <c r="Y54" s="4">
        <f>X54/K54</f>
        <v>9.1463414634146339E-2</v>
      </c>
      <c r="Z54" s="1" t="s">
        <v>75</v>
      </c>
      <c r="AB54" s="1" t="s">
        <v>65</v>
      </c>
      <c r="AC54" s="15" t="s">
        <v>36</v>
      </c>
      <c r="AD54" s="15" t="s">
        <v>36</v>
      </c>
      <c r="AE54" s="18" t="s">
        <v>76</v>
      </c>
    </row>
    <row r="55" spans="1:32">
      <c r="A55" s="1" t="s">
        <v>591</v>
      </c>
      <c r="C55" s="1">
        <v>322170</v>
      </c>
      <c r="D55" s="1" t="s">
        <v>27</v>
      </c>
      <c r="E55" s="1">
        <v>0.01</v>
      </c>
      <c r="F55" s="1">
        <v>0.38</v>
      </c>
      <c r="G55" s="23">
        <v>43.103999999999999</v>
      </c>
      <c r="H55" s="9">
        <v>-118.8165984</v>
      </c>
      <c r="I55" s="1" t="s">
        <v>28</v>
      </c>
      <c r="J55" s="1" t="s">
        <v>284</v>
      </c>
      <c r="K55" s="1">
        <v>124</v>
      </c>
      <c r="L55" s="1">
        <v>106</v>
      </c>
      <c r="M55" s="1">
        <f t="shared" si="4"/>
        <v>115</v>
      </c>
      <c r="N55" s="4">
        <f t="shared" si="1"/>
        <v>0.85483870967741937</v>
      </c>
      <c r="O55" s="4">
        <f t="shared" si="5"/>
        <v>0.82806942295471053</v>
      </c>
      <c r="P55" s="4">
        <f t="shared" si="3"/>
        <v>0.87024727246254652</v>
      </c>
      <c r="Q55" s="14" t="s">
        <v>47</v>
      </c>
      <c r="R55" s="14" t="s">
        <v>48</v>
      </c>
      <c r="S55" s="14" t="s">
        <v>588</v>
      </c>
      <c r="V55" s="1" t="s">
        <v>51</v>
      </c>
      <c r="W55" s="1">
        <v>1434</v>
      </c>
      <c r="Y55" s="4"/>
      <c r="Z55" s="1">
        <v>60000</v>
      </c>
      <c r="AA55" s="1" t="s">
        <v>589</v>
      </c>
      <c r="AB55" s="1" t="s">
        <v>65</v>
      </c>
      <c r="AC55" s="15" t="s">
        <v>36</v>
      </c>
      <c r="AD55" s="15" t="s">
        <v>36</v>
      </c>
      <c r="AE55" s="1" t="s">
        <v>209</v>
      </c>
    </row>
    <row r="56" spans="1:32">
      <c r="A56" s="24" t="s">
        <v>590</v>
      </c>
      <c r="B56" s="24"/>
      <c r="C56" s="1">
        <v>322170</v>
      </c>
      <c r="D56" s="1" t="s">
        <v>27</v>
      </c>
      <c r="E56" s="1">
        <v>3.7000000000000002E-3</v>
      </c>
      <c r="F56" s="1">
        <v>0.22</v>
      </c>
      <c r="G56" s="9">
        <v>43.103310200000003</v>
      </c>
      <c r="H56" s="9">
        <v>-118.81788640000001</v>
      </c>
      <c r="I56" s="1" t="s">
        <v>28</v>
      </c>
      <c r="J56" s="1" t="s">
        <v>29</v>
      </c>
      <c r="K56" s="1">
        <v>72</v>
      </c>
      <c r="L56" s="1">
        <v>68</v>
      </c>
      <c r="M56" s="1">
        <f t="shared" si="4"/>
        <v>70</v>
      </c>
      <c r="N56" s="4">
        <f t="shared" si="1"/>
        <v>0.94444444444444442</v>
      </c>
      <c r="O56" s="4">
        <f t="shared" si="5"/>
        <v>0.90875507629631613</v>
      </c>
      <c r="P56" s="4">
        <f t="shared" si="3"/>
        <v>0.96065229903158944</v>
      </c>
      <c r="Q56" s="14" t="s">
        <v>47</v>
      </c>
      <c r="R56" s="14" t="s">
        <v>48</v>
      </c>
      <c r="S56" s="14" t="s">
        <v>588</v>
      </c>
      <c r="V56" s="1" t="s">
        <v>51</v>
      </c>
      <c r="W56" s="1">
        <v>1434</v>
      </c>
      <c r="Y56" s="4"/>
      <c r="Z56" s="1">
        <v>60000</v>
      </c>
      <c r="AA56" s="1" t="s">
        <v>589</v>
      </c>
      <c r="AB56" s="1" t="s">
        <v>65</v>
      </c>
      <c r="AC56" s="15" t="s">
        <v>36</v>
      </c>
      <c r="AD56" s="15" t="s">
        <v>36</v>
      </c>
      <c r="AE56" s="1" t="s">
        <v>209</v>
      </c>
      <c r="AF56" s="1" t="s">
        <v>1184</v>
      </c>
    </row>
    <row r="57" spans="1:32">
      <c r="A57" s="24" t="s">
        <v>593</v>
      </c>
      <c r="B57" s="24"/>
      <c r="C57" s="1">
        <v>322170</v>
      </c>
      <c r="D57" s="1" t="s">
        <v>27</v>
      </c>
      <c r="E57" s="1">
        <v>5.3999999999999999E-2</v>
      </c>
      <c r="F57" s="1">
        <v>0.84</v>
      </c>
      <c r="G57" s="9">
        <v>43.099409299999998</v>
      </c>
      <c r="H57" s="9">
        <v>-118.8085385</v>
      </c>
      <c r="I57" s="1" t="s">
        <v>28</v>
      </c>
      <c r="J57" s="1" t="s">
        <v>29</v>
      </c>
      <c r="K57" s="1">
        <v>274</v>
      </c>
      <c r="L57" s="1">
        <v>261</v>
      </c>
      <c r="M57" s="1">
        <f t="shared" si="4"/>
        <v>267.5</v>
      </c>
      <c r="N57" s="4">
        <f t="shared" si="1"/>
        <v>0.95255474452554745</v>
      </c>
      <c r="O57" s="4">
        <f t="shared" si="5"/>
        <v>0.91580445702619706</v>
      </c>
      <c r="P57" s="4">
        <f t="shared" si="3"/>
        <v>0.96171203681320205</v>
      </c>
      <c r="Q57" s="14" t="s">
        <v>47</v>
      </c>
      <c r="R57" s="14" t="s">
        <v>48</v>
      </c>
      <c r="S57" s="14" t="s">
        <v>588</v>
      </c>
      <c r="V57" s="1" t="s">
        <v>51</v>
      </c>
      <c r="W57" s="1">
        <v>1434</v>
      </c>
      <c r="Y57" s="4"/>
      <c r="Z57" s="1">
        <v>60000</v>
      </c>
      <c r="AA57" s="1" t="s">
        <v>589</v>
      </c>
      <c r="AB57" s="1" t="s">
        <v>65</v>
      </c>
      <c r="AC57" s="15" t="s">
        <v>36</v>
      </c>
      <c r="AD57" s="15" t="s">
        <v>36</v>
      </c>
      <c r="AE57" s="1" t="s">
        <v>209</v>
      </c>
    </row>
    <row r="58" spans="1:32">
      <c r="A58" s="24" t="s">
        <v>592</v>
      </c>
      <c r="B58" s="24"/>
      <c r="C58" s="1">
        <v>322170</v>
      </c>
      <c r="D58" s="1" t="s">
        <v>27</v>
      </c>
      <c r="E58" s="1">
        <v>4.5999999999999999E-2</v>
      </c>
      <c r="F58" s="1">
        <v>0.77</v>
      </c>
      <c r="G58" s="9">
        <v>43.098255100000003</v>
      </c>
      <c r="H58" s="9">
        <v>-118.80503109999999</v>
      </c>
      <c r="I58" s="1" t="s">
        <v>28</v>
      </c>
      <c r="J58" s="1" t="s">
        <v>29</v>
      </c>
      <c r="K58" s="1">
        <v>253</v>
      </c>
      <c r="L58" s="1">
        <v>243</v>
      </c>
      <c r="M58" s="1">
        <f t="shared" si="4"/>
        <v>248</v>
      </c>
      <c r="N58" s="4">
        <f t="shared" si="1"/>
        <v>0.96047430830039526</v>
      </c>
      <c r="O58" s="4">
        <f t="shared" si="5"/>
        <v>0.91501224918085722</v>
      </c>
      <c r="P58" s="4">
        <f t="shared" si="3"/>
        <v>0.97495875908335605</v>
      </c>
      <c r="Q58" s="14" t="s">
        <v>47</v>
      </c>
      <c r="R58" s="14" t="s">
        <v>48</v>
      </c>
      <c r="S58" s="14" t="s">
        <v>588</v>
      </c>
      <c r="V58" s="1" t="s">
        <v>51</v>
      </c>
      <c r="W58" s="1">
        <v>1434</v>
      </c>
      <c r="Y58" s="4"/>
      <c r="Z58" s="1">
        <v>60000</v>
      </c>
      <c r="AA58" s="1" t="s">
        <v>589</v>
      </c>
      <c r="AB58" s="1" t="s">
        <v>65</v>
      </c>
      <c r="AC58" s="15" t="s">
        <v>36</v>
      </c>
      <c r="AD58" s="15" t="s">
        <v>36</v>
      </c>
      <c r="AE58" s="1" t="s">
        <v>209</v>
      </c>
    </row>
    <row r="59" spans="1:32">
      <c r="A59" s="24" t="s">
        <v>503</v>
      </c>
      <c r="B59" s="24"/>
      <c r="C59" s="1">
        <v>305050</v>
      </c>
      <c r="D59" s="1" t="s">
        <v>27</v>
      </c>
      <c r="E59" s="1">
        <v>0.88</v>
      </c>
      <c r="F59" s="1">
        <v>3.46</v>
      </c>
      <c r="G59" s="9">
        <v>42.426234000000001</v>
      </c>
      <c r="H59" s="9">
        <v>126.51314960000001</v>
      </c>
      <c r="I59" s="1" t="s">
        <v>504</v>
      </c>
      <c r="J59" s="1" t="s">
        <v>94</v>
      </c>
      <c r="K59" s="1">
        <v>1126</v>
      </c>
      <c r="L59" s="1">
        <v>1045</v>
      </c>
      <c r="M59" s="1">
        <f t="shared" si="4"/>
        <v>1085.5</v>
      </c>
      <c r="N59" s="4">
        <f t="shared" si="1"/>
        <v>0.9280639431616341</v>
      </c>
      <c r="O59" s="4">
        <f t="shared" si="5"/>
        <v>0.88372269793492686</v>
      </c>
      <c r="P59" s="4">
        <f t="shared" si="3"/>
        <v>0.92371998234455488</v>
      </c>
      <c r="Q59" s="14" t="s">
        <v>47</v>
      </c>
      <c r="R59" s="1" t="s">
        <v>48</v>
      </c>
      <c r="S59" s="1" t="s">
        <v>505</v>
      </c>
      <c r="V59" s="1" t="s">
        <v>51</v>
      </c>
      <c r="W59" s="1">
        <v>599</v>
      </c>
      <c r="X59" s="1">
        <f>127+50</f>
        <v>177</v>
      </c>
      <c r="Y59" s="4">
        <f>X59/K58</f>
        <v>0.69960474308300391</v>
      </c>
      <c r="Z59" s="24" t="s">
        <v>1054</v>
      </c>
      <c r="AA59" s="1" t="s">
        <v>126</v>
      </c>
      <c r="AB59" s="1" t="s">
        <v>65</v>
      </c>
      <c r="AC59" s="15">
        <v>34708</v>
      </c>
      <c r="AD59" s="15">
        <v>4407575</v>
      </c>
      <c r="AE59" s="18" t="s">
        <v>506</v>
      </c>
    </row>
    <row r="60" spans="1:32">
      <c r="A60" s="24" t="s">
        <v>516</v>
      </c>
      <c r="B60" s="24"/>
      <c r="C60" s="1">
        <v>305050</v>
      </c>
      <c r="D60" s="1" t="s">
        <v>27</v>
      </c>
      <c r="E60" s="1">
        <v>0.8</v>
      </c>
      <c r="F60" s="1">
        <v>3.52</v>
      </c>
      <c r="G60" s="9">
        <v>42.415758799999999</v>
      </c>
      <c r="H60" s="9">
        <v>126.6031156</v>
      </c>
      <c r="I60" s="1" t="s">
        <v>504</v>
      </c>
      <c r="J60" s="1" t="s">
        <v>86</v>
      </c>
      <c r="K60" s="1">
        <v>1145</v>
      </c>
      <c r="L60" s="1">
        <v>1105</v>
      </c>
      <c r="M60" s="1">
        <f t="shared" si="4"/>
        <v>1125</v>
      </c>
      <c r="N60" s="4">
        <f t="shared" si="1"/>
        <v>0.96506550218340614</v>
      </c>
      <c r="O60" s="4">
        <f t="shared" si="5"/>
        <v>0.77694295363408794</v>
      </c>
      <c r="P60" s="4">
        <f t="shared" si="3"/>
        <v>0.81136173904695053</v>
      </c>
      <c r="Q60" s="14" t="s">
        <v>47</v>
      </c>
      <c r="R60" s="1" t="s">
        <v>48</v>
      </c>
      <c r="S60" s="1" t="s">
        <v>505</v>
      </c>
      <c r="V60" s="1" t="s">
        <v>51</v>
      </c>
      <c r="W60" s="1">
        <v>618</v>
      </c>
      <c r="X60" s="1">
        <f>115+10</f>
        <v>125</v>
      </c>
      <c r="Y60" s="4">
        <f>X60/K59</f>
        <v>0.11101243339253997</v>
      </c>
      <c r="Z60" s="24" t="s">
        <v>1054</v>
      </c>
      <c r="AA60" s="1" t="s">
        <v>126</v>
      </c>
      <c r="AB60" s="1" t="s">
        <v>65</v>
      </c>
      <c r="AC60" s="15">
        <v>34708</v>
      </c>
      <c r="AD60" s="15">
        <v>4407575</v>
      </c>
      <c r="AE60" s="18" t="s">
        <v>506</v>
      </c>
    </row>
    <row r="61" spans="1:32">
      <c r="A61" s="24" t="s">
        <v>517</v>
      </c>
      <c r="B61" s="24"/>
      <c r="C61" s="1">
        <v>305050</v>
      </c>
      <c r="D61" s="1" t="s">
        <v>27</v>
      </c>
      <c r="E61" s="1">
        <v>0.4</v>
      </c>
      <c r="F61" s="1">
        <v>2.35</v>
      </c>
      <c r="G61" s="9">
        <v>42.413580600000003</v>
      </c>
      <c r="H61" s="9">
        <v>126.4797607</v>
      </c>
      <c r="I61" s="1" t="s">
        <v>504</v>
      </c>
      <c r="J61" s="1" t="s">
        <v>86</v>
      </c>
      <c r="K61" s="1">
        <v>858</v>
      </c>
      <c r="L61" s="1">
        <v>626</v>
      </c>
      <c r="M61" s="1">
        <f t="shared" si="4"/>
        <v>742</v>
      </c>
      <c r="N61" s="4">
        <f t="shared" si="1"/>
        <v>0.72960372960372966</v>
      </c>
      <c r="O61" s="4">
        <f t="shared" si="5"/>
        <v>0.69182385704009597</v>
      </c>
      <c r="P61" s="4">
        <f t="shared" si="3"/>
        <v>0.91019434056019355</v>
      </c>
      <c r="Q61" s="14" t="s">
        <v>47</v>
      </c>
      <c r="R61" s="1" t="s">
        <v>48</v>
      </c>
      <c r="S61" s="1" t="s">
        <v>505</v>
      </c>
      <c r="V61" s="1" t="s">
        <v>51</v>
      </c>
      <c r="W61" s="1">
        <v>655</v>
      </c>
      <c r="X61" s="1">
        <f>69+20</f>
        <v>89</v>
      </c>
      <c r="Y61" s="4">
        <f>X61/K61</f>
        <v>0.10372960372960373</v>
      </c>
      <c r="Z61" s="24" t="s">
        <v>1054</v>
      </c>
      <c r="AA61" s="1" t="s">
        <v>126</v>
      </c>
      <c r="AB61" s="1" t="s">
        <v>65</v>
      </c>
      <c r="AC61" s="15">
        <v>34708</v>
      </c>
      <c r="AD61" s="15">
        <v>4407575</v>
      </c>
      <c r="AE61" s="18" t="s">
        <v>506</v>
      </c>
    </row>
    <row r="62" spans="1:32">
      <c r="A62" s="24" t="s">
        <v>536</v>
      </c>
      <c r="B62" s="24"/>
      <c r="C62" s="1">
        <v>305050</v>
      </c>
      <c r="D62" s="1" t="s">
        <v>27</v>
      </c>
      <c r="E62" s="1">
        <v>0.96</v>
      </c>
      <c r="F62" s="1">
        <v>3.75</v>
      </c>
      <c r="G62" s="9">
        <v>42.3693521</v>
      </c>
      <c r="H62" s="9">
        <v>126.4319363</v>
      </c>
      <c r="I62" s="1" t="s">
        <v>504</v>
      </c>
      <c r="J62" s="1" t="s">
        <v>94</v>
      </c>
      <c r="K62" s="1">
        <v>1370</v>
      </c>
      <c r="L62" s="1">
        <v>838</v>
      </c>
      <c r="M62" s="1">
        <f t="shared" si="4"/>
        <v>1104</v>
      </c>
      <c r="N62" s="4">
        <f t="shared" si="1"/>
        <v>0.61167883211678831</v>
      </c>
      <c r="O62" s="4">
        <f t="shared" si="5"/>
        <v>0.65123872499640689</v>
      </c>
      <c r="P62" s="4">
        <f t="shared" si="3"/>
        <v>0.85786423394025269</v>
      </c>
      <c r="Q62" s="14" t="s">
        <v>47</v>
      </c>
      <c r="R62" s="1" t="s">
        <v>48</v>
      </c>
      <c r="S62" s="1" t="s">
        <v>505</v>
      </c>
      <c r="V62" s="1" t="s">
        <v>51</v>
      </c>
      <c r="W62" s="1">
        <v>730</v>
      </c>
      <c r="X62" s="1">
        <f>76+40</f>
        <v>116</v>
      </c>
      <c r="Y62" s="4">
        <f>X62/K62</f>
        <v>8.4671532846715331E-2</v>
      </c>
      <c r="Z62" s="24" t="s">
        <v>1054</v>
      </c>
      <c r="AA62" s="1" t="s">
        <v>126</v>
      </c>
      <c r="AB62" s="1" t="s">
        <v>65</v>
      </c>
      <c r="AC62" s="15">
        <v>34708</v>
      </c>
      <c r="AD62" s="15">
        <v>4407575</v>
      </c>
      <c r="AE62" s="18" t="s">
        <v>506</v>
      </c>
    </row>
    <row r="63" spans="1:32">
      <c r="A63" s="24" t="s">
        <v>538</v>
      </c>
      <c r="B63" s="24"/>
      <c r="C63" s="1">
        <v>305050</v>
      </c>
      <c r="D63" s="1" t="s">
        <v>27</v>
      </c>
      <c r="E63" s="1">
        <v>0.88</v>
      </c>
      <c r="F63" s="1">
        <v>3.38</v>
      </c>
      <c r="G63" s="9">
        <v>42.286196500000003</v>
      </c>
      <c r="H63" s="9">
        <v>126.6029265</v>
      </c>
      <c r="I63" s="1" t="s">
        <v>504</v>
      </c>
      <c r="J63" s="1" t="s">
        <v>94</v>
      </c>
      <c r="K63" s="1">
        <v>1134</v>
      </c>
      <c r="L63" s="1">
        <v>969</v>
      </c>
      <c r="M63" s="1">
        <f t="shared" si="4"/>
        <v>1051.5</v>
      </c>
      <c r="N63" s="4">
        <f t="shared" si="1"/>
        <v>0.85449735449735453</v>
      </c>
      <c r="O63" s="4">
        <f t="shared" si="5"/>
        <v>0.87129792883033574</v>
      </c>
      <c r="P63" s="4">
        <f t="shared" si="3"/>
        <v>0.96796384410875591</v>
      </c>
      <c r="Q63" s="14" t="s">
        <v>47</v>
      </c>
      <c r="R63" s="1" t="s">
        <v>48</v>
      </c>
      <c r="S63" s="1" t="s">
        <v>505</v>
      </c>
      <c r="V63" s="1" t="s">
        <v>51</v>
      </c>
      <c r="W63" s="1">
        <v>797</v>
      </c>
      <c r="X63" s="1">
        <v>171</v>
      </c>
      <c r="Y63" s="4">
        <f>X63/K63</f>
        <v>0.15079365079365079</v>
      </c>
      <c r="Z63" s="24" t="s">
        <v>1054</v>
      </c>
      <c r="AA63" s="1" t="s">
        <v>126</v>
      </c>
      <c r="AB63" s="1" t="s">
        <v>65</v>
      </c>
      <c r="AC63" s="15">
        <v>34708</v>
      </c>
      <c r="AD63" s="15">
        <v>4407575</v>
      </c>
      <c r="AE63" s="18" t="s">
        <v>506</v>
      </c>
      <c r="AF63" s="1" t="s">
        <v>1185</v>
      </c>
    </row>
    <row r="64" spans="1:32">
      <c r="A64" s="40" t="s">
        <v>92</v>
      </c>
      <c r="B64" s="40"/>
      <c r="C64" s="9">
        <v>211809</v>
      </c>
      <c r="D64" s="9" t="s">
        <v>27</v>
      </c>
      <c r="E64" s="10">
        <v>1.6359999999999999</v>
      </c>
      <c r="F64" s="10">
        <v>4.6649000000000003</v>
      </c>
      <c r="G64" s="11">
        <v>42.1308176</v>
      </c>
      <c r="H64" s="19">
        <v>12.3229542</v>
      </c>
      <c r="I64" s="9" t="s">
        <v>93</v>
      </c>
      <c r="J64" s="1" t="s">
        <v>94</v>
      </c>
      <c r="K64" s="1">
        <v>1570</v>
      </c>
      <c r="L64" s="1">
        <v>1380</v>
      </c>
      <c r="M64" s="1">
        <f t="shared" si="4"/>
        <v>1475</v>
      </c>
      <c r="N64" s="4">
        <f t="shared" si="1"/>
        <v>0.87898089171974525</v>
      </c>
      <c r="O64" s="4">
        <f t="shared" si="5"/>
        <v>0.84507277990455032</v>
      </c>
      <c r="P64" s="4">
        <f t="shared" si="3"/>
        <v>0.94473169679650848</v>
      </c>
      <c r="Q64" s="14" t="s">
        <v>30</v>
      </c>
      <c r="R64" s="14" t="s">
        <v>48</v>
      </c>
      <c r="S64" s="14" t="s">
        <v>95</v>
      </c>
      <c r="T64" s="1" t="s">
        <v>48</v>
      </c>
      <c r="U64" s="1" t="s">
        <v>96</v>
      </c>
      <c r="V64" s="1" t="s">
        <v>69</v>
      </c>
      <c r="W64" s="1">
        <v>500</v>
      </c>
      <c r="X64" s="1" t="s">
        <v>97</v>
      </c>
      <c r="Y64" s="4">
        <f>50/K64</f>
        <v>3.1847133757961783E-2</v>
      </c>
      <c r="Z64" s="1" t="s">
        <v>98</v>
      </c>
      <c r="AA64" s="1" t="s">
        <v>99</v>
      </c>
      <c r="AB64" s="1" t="s">
        <v>65</v>
      </c>
      <c r="AC64" s="15" t="s">
        <v>36</v>
      </c>
      <c r="AD64" s="15" t="s">
        <v>36</v>
      </c>
      <c r="AE64" s="18" t="s">
        <v>100</v>
      </c>
    </row>
    <row r="65" spans="1:32">
      <c r="A65" s="40" t="s">
        <v>492</v>
      </c>
      <c r="B65" s="40"/>
      <c r="C65" s="9">
        <v>211809</v>
      </c>
      <c r="D65" s="9" t="s">
        <v>27</v>
      </c>
      <c r="E65" s="10">
        <v>5.3209999999999997</v>
      </c>
      <c r="F65" s="10">
        <v>9.1869999999999994</v>
      </c>
      <c r="G65" s="11">
        <v>42.114776399999997</v>
      </c>
      <c r="H65" s="19">
        <v>12.3194897</v>
      </c>
      <c r="I65" s="9" t="s">
        <v>93</v>
      </c>
      <c r="J65" s="1" t="s">
        <v>187</v>
      </c>
      <c r="K65" s="1">
        <v>3120</v>
      </c>
      <c r="L65" s="1">
        <v>2320</v>
      </c>
      <c r="M65" s="1">
        <f t="shared" si="4"/>
        <v>2720</v>
      </c>
      <c r="N65" s="4">
        <f t="shared" si="1"/>
        <v>0.74358974358974361</v>
      </c>
      <c r="O65" s="4">
        <f t="shared" si="5"/>
        <v>0.69597588115711284</v>
      </c>
      <c r="P65" s="4">
        <f t="shared" si="3"/>
        <v>0.79223803744486843</v>
      </c>
      <c r="Q65" s="14" t="s">
        <v>30</v>
      </c>
      <c r="R65" s="14" t="s">
        <v>48</v>
      </c>
      <c r="S65" s="14" t="s">
        <v>95</v>
      </c>
      <c r="V65" s="1" t="s">
        <v>69</v>
      </c>
      <c r="W65" s="1">
        <v>500</v>
      </c>
      <c r="AB65" s="1" t="s">
        <v>65</v>
      </c>
      <c r="AC65" s="15" t="s">
        <v>36</v>
      </c>
      <c r="AD65" s="15" t="s">
        <v>36</v>
      </c>
      <c r="AE65" s="1" t="s">
        <v>493</v>
      </c>
    </row>
    <row r="66" spans="1:32">
      <c r="A66" s="24" t="s">
        <v>527</v>
      </c>
      <c r="B66" s="24" t="s">
        <v>528</v>
      </c>
      <c r="C66" s="1">
        <v>210030</v>
      </c>
      <c r="D66" s="1" t="s">
        <v>27</v>
      </c>
      <c r="E66" s="1">
        <v>1.01</v>
      </c>
      <c r="F66" s="1">
        <v>3.63</v>
      </c>
      <c r="G66" s="11">
        <v>41.9242864</v>
      </c>
      <c r="H66" s="19">
        <v>2.7382621</v>
      </c>
      <c r="I66" s="1" t="s">
        <v>463</v>
      </c>
      <c r="J66" s="1" t="s">
        <v>94</v>
      </c>
      <c r="K66" s="1">
        <v>1320</v>
      </c>
      <c r="L66" s="1">
        <v>1135</v>
      </c>
      <c r="M66" s="1">
        <f t="shared" ref="M66:M97" si="6">AVERAGE(K66:L66)</f>
        <v>1227.5</v>
      </c>
      <c r="N66" s="4">
        <f t="shared" ref="N66:N129" si="7">L66/K66</f>
        <v>0.85984848484848486</v>
      </c>
      <c r="O66" s="4">
        <f t="shared" ref="O66:O87" si="8">E66/(PI()*((K66/2000)^2))</f>
        <v>0.73804633848858714</v>
      </c>
      <c r="P66" s="4">
        <f t="shared" ref="P66:P129" si="9">E66/(((F66/(2*PI()))^2)*PI())</f>
        <v>0.96320335742873997</v>
      </c>
      <c r="Q66" s="14" t="s">
        <v>30</v>
      </c>
      <c r="R66" s="14" t="s">
        <v>31</v>
      </c>
      <c r="S66" s="14" t="s">
        <v>529</v>
      </c>
      <c r="V66" s="1" t="s">
        <v>152</v>
      </c>
      <c r="W66" s="1">
        <v>700</v>
      </c>
      <c r="X66" s="1" t="s">
        <v>530</v>
      </c>
      <c r="Y66" s="4">
        <f>80/K66</f>
        <v>6.0606060606060608E-2</v>
      </c>
      <c r="Z66" s="1" t="s">
        <v>531</v>
      </c>
      <c r="AA66" s="1" t="s">
        <v>53</v>
      </c>
      <c r="AB66" s="1" t="s">
        <v>65</v>
      </c>
      <c r="AC66" s="15">
        <v>33377</v>
      </c>
      <c r="AD66" s="15">
        <v>5238117</v>
      </c>
      <c r="AE66" s="18" t="s">
        <v>532</v>
      </c>
    </row>
    <row r="67" spans="1:32">
      <c r="A67" s="24" t="s">
        <v>486</v>
      </c>
      <c r="B67" s="24"/>
      <c r="C67" s="9">
        <v>211004</v>
      </c>
      <c r="D67" s="1" t="s">
        <v>27</v>
      </c>
      <c r="E67" s="1">
        <v>1.29</v>
      </c>
      <c r="F67" s="1">
        <v>4.0999999999999996</v>
      </c>
      <c r="G67" s="11">
        <v>41.8926643</v>
      </c>
      <c r="H67" s="19">
        <v>12.712136900000001</v>
      </c>
      <c r="I67" s="1" t="s">
        <v>93</v>
      </c>
      <c r="J67" s="1" t="s">
        <v>329</v>
      </c>
      <c r="K67" s="1">
        <v>1380</v>
      </c>
      <c r="L67" s="1">
        <v>1260</v>
      </c>
      <c r="M67" s="1">
        <f t="shared" si="6"/>
        <v>1320</v>
      </c>
      <c r="N67" s="4">
        <f t="shared" si="7"/>
        <v>0.91304347826086951</v>
      </c>
      <c r="O67" s="4">
        <f t="shared" si="8"/>
        <v>0.86246535008840597</v>
      </c>
      <c r="P67" s="4">
        <f t="shared" si="9"/>
        <v>0.96434372947789027</v>
      </c>
      <c r="Q67" s="1" t="s">
        <v>30</v>
      </c>
      <c r="R67" s="14" t="s">
        <v>31</v>
      </c>
      <c r="S67" s="1" t="s">
        <v>487</v>
      </c>
      <c r="T67" s="1" t="s">
        <v>65</v>
      </c>
      <c r="V67" s="1" t="s">
        <v>69</v>
      </c>
      <c r="W67" s="1">
        <v>500</v>
      </c>
      <c r="AA67" s="1" t="s">
        <v>488</v>
      </c>
      <c r="AB67" s="1" t="s">
        <v>65</v>
      </c>
      <c r="AC67" s="15">
        <v>897039</v>
      </c>
      <c r="AD67" s="15">
        <v>5330273</v>
      </c>
      <c r="AE67" s="18" t="s">
        <v>489</v>
      </c>
    </row>
    <row r="68" spans="1:32">
      <c r="A68" s="24" t="s">
        <v>495</v>
      </c>
      <c r="B68" s="24"/>
      <c r="C68" s="9">
        <v>211004</v>
      </c>
      <c r="D68" s="1" t="s">
        <v>27</v>
      </c>
      <c r="E68" s="1">
        <v>9.4499999999999993</v>
      </c>
      <c r="F68" s="1">
        <v>11.5</v>
      </c>
      <c r="G68" s="11">
        <v>41.747373400000001</v>
      </c>
      <c r="H68" s="19">
        <v>12.670529</v>
      </c>
      <c r="I68" s="1" t="s">
        <v>93</v>
      </c>
      <c r="J68" s="1" t="s">
        <v>46</v>
      </c>
      <c r="K68" s="1">
        <v>4254</v>
      </c>
      <c r="L68" s="1">
        <v>2900</v>
      </c>
      <c r="M68" s="1">
        <f t="shared" si="6"/>
        <v>3577</v>
      </c>
      <c r="N68" s="4">
        <f t="shared" si="7"/>
        <v>0.68171133051245891</v>
      </c>
      <c r="O68" s="4">
        <f t="shared" si="8"/>
        <v>0.66488564416196405</v>
      </c>
      <c r="P68" s="4">
        <f t="shared" si="9"/>
        <v>0.89793725750997488</v>
      </c>
      <c r="Q68" s="1" t="s">
        <v>30</v>
      </c>
      <c r="R68" s="14" t="s">
        <v>31</v>
      </c>
      <c r="S68" s="1" t="s">
        <v>487</v>
      </c>
      <c r="T68" s="1" t="s">
        <v>48</v>
      </c>
      <c r="V68" s="1" t="s">
        <v>69</v>
      </c>
      <c r="W68" s="1">
        <v>500</v>
      </c>
      <c r="Z68" s="1" t="s">
        <v>496</v>
      </c>
      <c r="AA68" s="1" t="s">
        <v>488</v>
      </c>
      <c r="AB68" s="1" t="s">
        <v>65</v>
      </c>
      <c r="AC68" s="15">
        <v>897039</v>
      </c>
      <c r="AD68" s="15">
        <v>5330273</v>
      </c>
      <c r="AE68" s="1" t="s">
        <v>493</v>
      </c>
    </row>
    <row r="69" spans="1:32">
      <c r="A69" s="40" t="s">
        <v>494</v>
      </c>
      <c r="B69" s="40"/>
      <c r="C69" s="9">
        <v>211004</v>
      </c>
      <c r="D69" s="9" t="s">
        <v>27</v>
      </c>
      <c r="E69" s="10">
        <v>5.88</v>
      </c>
      <c r="F69" s="10">
        <v>9.14</v>
      </c>
      <c r="G69" s="11">
        <v>41.717520200000003</v>
      </c>
      <c r="H69" s="19">
        <v>12.7043336</v>
      </c>
      <c r="I69" s="9" t="s">
        <v>93</v>
      </c>
      <c r="J69" s="1" t="s">
        <v>46</v>
      </c>
      <c r="K69" s="1">
        <v>3355</v>
      </c>
      <c r="L69" s="1">
        <v>2164</v>
      </c>
      <c r="M69" s="1">
        <f t="shared" si="6"/>
        <v>2759.5</v>
      </c>
      <c r="N69" s="4">
        <f t="shared" si="7"/>
        <v>0.64500745156482864</v>
      </c>
      <c r="O69" s="4">
        <f t="shared" si="8"/>
        <v>0.66512365804471441</v>
      </c>
      <c r="P69" s="4">
        <f t="shared" si="9"/>
        <v>0.88449381146703998</v>
      </c>
      <c r="Q69" s="14" t="s">
        <v>30</v>
      </c>
      <c r="R69" s="14" t="s">
        <v>31</v>
      </c>
      <c r="S69" s="1" t="s">
        <v>487</v>
      </c>
      <c r="V69" s="1" t="s">
        <v>69</v>
      </c>
      <c r="W69" s="1">
        <v>500</v>
      </c>
      <c r="AA69" s="1" t="s">
        <v>488</v>
      </c>
      <c r="AB69" s="1" t="s">
        <v>48</v>
      </c>
      <c r="AC69" s="15">
        <v>897039</v>
      </c>
      <c r="AD69" s="15">
        <v>5330273</v>
      </c>
      <c r="AE69" s="1" t="s">
        <v>493</v>
      </c>
    </row>
    <row r="70" spans="1:32">
      <c r="A70" s="24" t="s">
        <v>484</v>
      </c>
      <c r="B70" s="24"/>
      <c r="C70" s="1">
        <v>211010</v>
      </c>
      <c r="D70" s="1" t="s">
        <v>27</v>
      </c>
      <c r="E70" s="1">
        <v>1.1399999999999999</v>
      </c>
      <c r="F70" s="1">
        <v>4.1500000000000004</v>
      </c>
      <c r="G70" s="11">
        <v>40.8386675</v>
      </c>
      <c r="H70" s="19">
        <v>14.075735999999999</v>
      </c>
      <c r="I70" s="1" t="s">
        <v>93</v>
      </c>
      <c r="J70" s="1" t="s">
        <v>46</v>
      </c>
      <c r="K70" s="1">
        <v>1437</v>
      </c>
      <c r="L70" s="1">
        <v>1144</v>
      </c>
      <c r="M70" s="1">
        <f t="shared" si="6"/>
        <v>1290.5</v>
      </c>
      <c r="N70" s="4">
        <f t="shared" si="7"/>
        <v>0.79610299234516357</v>
      </c>
      <c r="O70" s="4">
        <f t="shared" si="8"/>
        <v>0.70291277060240875</v>
      </c>
      <c r="P70" s="4">
        <f t="shared" si="9"/>
        <v>0.83179924519491677</v>
      </c>
      <c r="Q70" s="1" t="s">
        <v>30</v>
      </c>
      <c r="R70" s="14" t="s">
        <v>31</v>
      </c>
      <c r="S70" s="1" t="s">
        <v>480</v>
      </c>
      <c r="T70" s="1" t="s">
        <v>48</v>
      </c>
      <c r="V70" s="1" t="s">
        <v>69</v>
      </c>
      <c r="W70" s="1">
        <v>500</v>
      </c>
      <c r="Z70" s="1" t="s">
        <v>485</v>
      </c>
      <c r="AB70" s="1" t="s">
        <v>65</v>
      </c>
      <c r="AC70" s="15">
        <v>2234109</v>
      </c>
      <c r="AD70" s="15">
        <v>6019697</v>
      </c>
      <c r="AE70" s="1" t="s">
        <v>481</v>
      </c>
    </row>
    <row r="71" spans="1:32">
      <c r="A71" s="24" t="s">
        <v>482</v>
      </c>
      <c r="B71" s="24"/>
      <c r="C71" s="1">
        <v>211010</v>
      </c>
      <c r="D71" s="1" t="s">
        <v>27</v>
      </c>
      <c r="E71" s="1">
        <v>0.32</v>
      </c>
      <c r="F71" s="1">
        <v>2.1</v>
      </c>
      <c r="G71" s="11">
        <v>40.827957699999999</v>
      </c>
      <c r="H71" s="19">
        <v>14.1393849</v>
      </c>
      <c r="I71" s="1" t="s">
        <v>93</v>
      </c>
      <c r="J71" s="1" t="s">
        <v>46</v>
      </c>
      <c r="K71" s="1">
        <v>706</v>
      </c>
      <c r="L71" s="1">
        <v>633</v>
      </c>
      <c r="M71" s="1">
        <f t="shared" si="6"/>
        <v>669.5</v>
      </c>
      <c r="N71" s="4">
        <f t="shared" si="7"/>
        <v>0.89660056657223797</v>
      </c>
      <c r="O71" s="4">
        <f t="shared" si="8"/>
        <v>0.81743023039116791</v>
      </c>
      <c r="P71" s="4">
        <f t="shared" si="9"/>
        <v>0.91184548675622101</v>
      </c>
      <c r="Q71" s="1" t="s">
        <v>30</v>
      </c>
      <c r="R71" s="14" t="s">
        <v>31</v>
      </c>
      <c r="S71" s="1" t="s">
        <v>480</v>
      </c>
      <c r="V71" s="1" t="s">
        <v>69</v>
      </c>
      <c r="W71" s="1">
        <v>500</v>
      </c>
      <c r="X71" s="1">
        <v>80</v>
      </c>
      <c r="Y71" s="4">
        <f>X71/K71</f>
        <v>0.11331444759206799</v>
      </c>
      <c r="Z71" s="1">
        <v>4285</v>
      </c>
      <c r="AB71" s="1" t="s">
        <v>65</v>
      </c>
      <c r="AC71" s="15">
        <v>2234109</v>
      </c>
      <c r="AD71" s="15">
        <v>6019697</v>
      </c>
      <c r="AE71" s="1" t="s">
        <v>481</v>
      </c>
    </row>
    <row r="72" spans="1:32">
      <c r="A72" s="24" t="s">
        <v>479</v>
      </c>
      <c r="B72" s="24"/>
      <c r="C72" s="1">
        <v>211010</v>
      </c>
      <c r="D72" s="1" t="s">
        <v>27</v>
      </c>
      <c r="E72" s="1">
        <v>0.35</v>
      </c>
      <c r="F72" s="1">
        <v>2.4900000000000002</v>
      </c>
      <c r="G72" s="11">
        <v>40.808298200000003</v>
      </c>
      <c r="H72" s="19">
        <v>14.0739585</v>
      </c>
      <c r="I72" s="1" t="s">
        <v>93</v>
      </c>
      <c r="J72" s="1" t="s">
        <v>46</v>
      </c>
      <c r="K72" s="1">
        <v>781</v>
      </c>
      <c r="L72" s="1">
        <v>531</v>
      </c>
      <c r="M72" s="1">
        <f t="shared" si="6"/>
        <v>656</v>
      </c>
      <c r="N72" s="4">
        <f t="shared" si="7"/>
        <v>0.67989756722151085</v>
      </c>
      <c r="O72" s="4">
        <f t="shared" si="8"/>
        <v>0.73059398987362612</v>
      </c>
      <c r="P72" s="4">
        <f t="shared" si="9"/>
        <v>0.7093804479001482</v>
      </c>
      <c r="Q72" s="1" t="s">
        <v>30</v>
      </c>
      <c r="R72" s="14" t="s">
        <v>31</v>
      </c>
      <c r="S72" s="1" t="s">
        <v>480</v>
      </c>
      <c r="V72" s="1" t="s">
        <v>69</v>
      </c>
      <c r="W72" s="1">
        <v>500</v>
      </c>
      <c r="AB72" s="1" t="s">
        <v>65</v>
      </c>
      <c r="AC72" s="15">
        <v>2234109</v>
      </c>
      <c r="AD72" s="15">
        <v>6019697</v>
      </c>
      <c r="AE72" s="1" t="s">
        <v>481</v>
      </c>
    </row>
    <row r="73" spans="1:32">
      <c r="A73" s="33" t="s">
        <v>605</v>
      </c>
      <c r="B73" s="33"/>
      <c r="C73" s="20">
        <v>323080</v>
      </c>
      <c r="D73" s="1" t="s">
        <v>27</v>
      </c>
      <c r="E73" s="1">
        <v>0.7</v>
      </c>
      <c r="F73" s="1">
        <v>3</v>
      </c>
      <c r="G73" s="11">
        <v>40.516756100000002</v>
      </c>
      <c r="H73" s="19">
        <v>-121.6027079</v>
      </c>
      <c r="I73" s="1" t="s">
        <v>28</v>
      </c>
      <c r="J73" s="1" t="s">
        <v>94</v>
      </c>
      <c r="K73" s="1">
        <v>966</v>
      </c>
      <c r="L73" s="1">
        <v>908</v>
      </c>
      <c r="M73" s="1">
        <f t="shared" si="6"/>
        <v>937</v>
      </c>
      <c r="N73" s="4">
        <f t="shared" si="7"/>
        <v>0.93995859213250521</v>
      </c>
      <c r="O73" s="4">
        <f t="shared" si="8"/>
        <v>0.95511112966600853</v>
      </c>
      <c r="P73" s="4">
        <f t="shared" si="9"/>
        <v>0.97738438111682446</v>
      </c>
      <c r="Q73" s="14" t="s">
        <v>30</v>
      </c>
      <c r="R73" s="14" t="s">
        <v>65</v>
      </c>
      <c r="S73" s="1" t="s">
        <v>606</v>
      </c>
      <c r="V73" s="1" t="s">
        <v>34</v>
      </c>
      <c r="W73" s="1">
        <v>1706</v>
      </c>
      <c r="X73" s="1">
        <v>120</v>
      </c>
      <c r="Y73" s="4">
        <f>X73/K73</f>
        <v>0.12422360248447205</v>
      </c>
      <c r="Z73" s="1" t="s">
        <v>607</v>
      </c>
      <c r="AA73" s="1" t="s">
        <v>42</v>
      </c>
      <c r="AB73" s="1" t="s">
        <v>65</v>
      </c>
      <c r="AC73" s="15">
        <v>0</v>
      </c>
      <c r="AD73" s="15">
        <v>439135</v>
      </c>
      <c r="AE73" s="18" t="s">
        <v>608</v>
      </c>
    </row>
    <row r="74" spans="1:32">
      <c r="A74" s="40" t="s">
        <v>247</v>
      </c>
      <c r="B74" s="40"/>
      <c r="C74" s="9">
        <v>283262</v>
      </c>
      <c r="D74" s="9" t="s">
        <v>27</v>
      </c>
      <c r="E74" s="10">
        <v>0.2828</v>
      </c>
      <c r="F74" s="10">
        <v>2.0409000000000002</v>
      </c>
      <c r="G74" s="11">
        <v>39.954672000000002</v>
      </c>
      <c r="H74" s="19">
        <v>139.7391255</v>
      </c>
      <c r="I74" s="9" t="s">
        <v>248</v>
      </c>
      <c r="J74" s="1" t="s">
        <v>187</v>
      </c>
      <c r="K74" s="1">
        <v>645</v>
      </c>
      <c r="L74" s="1">
        <v>520</v>
      </c>
      <c r="M74" s="1">
        <f t="shared" si="6"/>
        <v>582.5</v>
      </c>
      <c r="N74" s="4">
        <f t="shared" si="7"/>
        <v>0.80620155038759689</v>
      </c>
      <c r="O74" s="4">
        <f t="shared" si="8"/>
        <v>0.86550602307819002</v>
      </c>
      <c r="P74" s="4">
        <f t="shared" si="9"/>
        <v>0.85319012027468444</v>
      </c>
      <c r="Q74" s="14" t="s">
        <v>47</v>
      </c>
      <c r="R74" s="14" t="s">
        <v>31</v>
      </c>
      <c r="S74" s="14" t="s">
        <v>249</v>
      </c>
      <c r="U74" s="1" t="s">
        <v>250</v>
      </c>
      <c r="V74" s="1" t="s">
        <v>69</v>
      </c>
      <c r="W74" s="1">
        <v>82</v>
      </c>
      <c r="Z74" s="1" t="s">
        <v>251</v>
      </c>
      <c r="AA74" s="1" t="s">
        <v>252</v>
      </c>
      <c r="AB74" s="1" t="s">
        <v>65</v>
      </c>
      <c r="AC74" s="15">
        <v>1854</v>
      </c>
      <c r="AD74" s="15">
        <v>1205440</v>
      </c>
      <c r="AE74" s="1" t="s">
        <v>253</v>
      </c>
    </row>
    <row r="75" spans="1:32">
      <c r="A75" s="40" t="s">
        <v>258</v>
      </c>
      <c r="B75" s="40"/>
      <c r="C75" s="9">
        <v>283262</v>
      </c>
      <c r="D75" s="9" t="s">
        <v>27</v>
      </c>
      <c r="E75" s="10">
        <v>0.11</v>
      </c>
      <c r="F75" s="10">
        <v>1.26</v>
      </c>
      <c r="G75" s="11">
        <v>39.952577499999997</v>
      </c>
      <c r="H75" s="19">
        <v>139.7284641</v>
      </c>
      <c r="I75" s="9" t="s">
        <v>248</v>
      </c>
      <c r="J75" s="1" t="s">
        <v>187</v>
      </c>
      <c r="K75" s="1">
        <v>415</v>
      </c>
      <c r="L75" s="1">
        <v>324</v>
      </c>
      <c r="M75" s="1">
        <f t="shared" si="6"/>
        <v>369.5</v>
      </c>
      <c r="N75" s="4">
        <f t="shared" si="7"/>
        <v>0.78072289156626506</v>
      </c>
      <c r="O75" s="4">
        <f t="shared" si="8"/>
        <v>0.81321730248725743</v>
      </c>
      <c r="P75" s="4">
        <f t="shared" si="9"/>
        <v>0.8706857946456974</v>
      </c>
      <c r="Q75" s="14" t="s">
        <v>47</v>
      </c>
      <c r="R75" s="14" t="s">
        <v>31</v>
      </c>
      <c r="S75" s="14" t="s">
        <v>249</v>
      </c>
      <c r="U75" s="1" t="s">
        <v>250</v>
      </c>
      <c r="V75" s="1" t="s">
        <v>69</v>
      </c>
      <c r="W75" s="1">
        <v>291</v>
      </c>
      <c r="X75" s="1">
        <v>31</v>
      </c>
      <c r="Y75" s="4">
        <f>X75/K75</f>
        <v>7.4698795180722893E-2</v>
      </c>
      <c r="Z75" s="1" t="s">
        <v>259</v>
      </c>
      <c r="AA75" s="1" t="s">
        <v>256</v>
      </c>
      <c r="AB75" s="1" t="s">
        <v>65</v>
      </c>
      <c r="AC75" s="15">
        <v>1854</v>
      </c>
      <c r="AD75" s="15">
        <v>1205440</v>
      </c>
      <c r="AE75" s="1" t="s">
        <v>260</v>
      </c>
    </row>
    <row r="76" spans="1:32">
      <c r="A76" s="40" t="s">
        <v>254</v>
      </c>
      <c r="B76" s="40"/>
      <c r="C76" s="9">
        <v>283262</v>
      </c>
      <c r="D76" s="9" t="s">
        <v>27</v>
      </c>
      <c r="E76" s="10">
        <v>0.1076</v>
      </c>
      <c r="F76" s="10">
        <v>1.2535000000000001</v>
      </c>
      <c r="G76" s="11">
        <v>39.942665400000003</v>
      </c>
      <c r="H76" s="19">
        <v>139.71403849999999</v>
      </c>
      <c r="I76" s="9" t="s">
        <v>248</v>
      </c>
      <c r="J76" s="1" t="s">
        <v>187</v>
      </c>
      <c r="K76" s="1">
        <v>400</v>
      </c>
      <c r="L76" s="1">
        <v>320</v>
      </c>
      <c r="M76" s="1">
        <f t="shared" si="6"/>
        <v>360</v>
      </c>
      <c r="N76" s="4">
        <f t="shared" si="7"/>
        <v>0.8</v>
      </c>
      <c r="O76" s="4">
        <f t="shared" si="8"/>
        <v>0.85625359383439692</v>
      </c>
      <c r="P76" s="4">
        <f t="shared" si="9"/>
        <v>0.86054474872354825</v>
      </c>
      <c r="Q76" s="14" t="s">
        <v>47</v>
      </c>
      <c r="R76" s="14" t="s">
        <v>31</v>
      </c>
      <c r="S76" s="14" t="s">
        <v>249</v>
      </c>
      <c r="U76" s="1" t="s">
        <v>250</v>
      </c>
      <c r="V76" s="1" t="s">
        <v>69</v>
      </c>
      <c r="W76" s="1">
        <v>291</v>
      </c>
      <c r="X76" s="1">
        <v>57</v>
      </c>
      <c r="Y76" s="4">
        <f>X76/K76</f>
        <v>0.14249999999999999</v>
      </c>
      <c r="Z76" s="1" t="s">
        <v>255</v>
      </c>
      <c r="AA76" s="1" t="s">
        <v>256</v>
      </c>
      <c r="AB76" s="1" t="s">
        <v>65</v>
      </c>
      <c r="AC76" s="15">
        <v>1854</v>
      </c>
      <c r="AD76" s="15">
        <v>1205440</v>
      </c>
      <c r="AE76" s="1" t="s">
        <v>257</v>
      </c>
    </row>
    <row r="77" spans="1:32" ht="14.25" customHeight="1">
      <c r="A77" s="40" t="s">
        <v>116</v>
      </c>
      <c r="B77" s="40"/>
      <c r="C77" s="9">
        <v>328010</v>
      </c>
      <c r="D77" s="1" t="s">
        <v>27</v>
      </c>
      <c r="E77" s="1">
        <v>0.25</v>
      </c>
      <c r="F77" s="1">
        <v>1.85</v>
      </c>
      <c r="G77" s="11">
        <v>39.660609800000003</v>
      </c>
      <c r="H77" s="19">
        <v>-107.03490789999999</v>
      </c>
      <c r="I77" s="9" t="s">
        <v>28</v>
      </c>
      <c r="J77" s="1" t="s">
        <v>29</v>
      </c>
      <c r="K77" s="1">
        <v>635</v>
      </c>
      <c r="L77" s="1">
        <v>471</v>
      </c>
      <c r="M77" s="1">
        <f t="shared" si="6"/>
        <v>553</v>
      </c>
      <c r="N77" s="4">
        <f t="shared" si="7"/>
        <v>0.74173228346456688</v>
      </c>
      <c r="O77" s="4">
        <f t="shared" si="8"/>
        <v>0.78941009655599403</v>
      </c>
      <c r="P77" s="4">
        <f t="shared" si="9"/>
        <v>0.91792334655654995</v>
      </c>
      <c r="Q77" s="14" t="s">
        <v>117</v>
      </c>
      <c r="R77" s="14" t="s">
        <v>48</v>
      </c>
      <c r="S77" s="14"/>
      <c r="U77" s="1" t="s">
        <v>118</v>
      </c>
      <c r="V77" s="1" t="s">
        <v>51</v>
      </c>
      <c r="W77" s="1">
        <v>2230</v>
      </c>
      <c r="X77" s="1" t="s">
        <v>119</v>
      </c>
      <c r="Y77" s="4">
        <f>120/K77</f>
        <v>0.1889763779527559</v>
      </c>
      <c r="Z77" s="4" t="s">
        <v>120</v>
      </c>
      <c r="AA77" s="1" t="s">
        <v>121</v>
      </c>
      <c r="AB77" s="1" t="s">
        <v>65</v>
      </c>
      <c r="AC77" s="15">
        <v>725</v>
      </c>
      <c r="AD77" s="15">
        <v>182405</v>
      </c>
      <c r="AE77" s="18" t="s">
        <v>736</v>
      </c>
    </row>
    <row r="78" spans="1:32">
      <c r="A78" s="40" t="s">
        <v>569</v>
      </c>
      <c r="B78" s="40"/>
      <c r="C78" s="9">
        <v>326010</v>
      </c>
      <c r="D78" s="9" t="s">
        <v>27</v>
      </c>
      <c r="E78" s="10">
        <v>7.3800000000000004E-2</v>
      </c>
      <c r="F78" s="10">
        <v>0.9899</v>
      </c>
      <c r="G78" s="11">
        <v>39.514997200000003</v>
      </c>
      <c r="H78" s="19">
        <v>-118.8830854</v>
      </c>
      <c r="I78" s="9" t="s">
        <v>570</v>
      </c>
      <c r="J78" s="1" t="s">
        <v>29</v>
      </c>
      <c r="K78" s="1">
        <v>335</v>
      </c>
      <c r="L78" s="1">
        <v>305</v>
      </c>
      <c r="M78" s="1">
        <f t="shared" si="6"/>
        <v>320</v>
      </c>
      <c r="N78" s="4">
        <f t="shared" si="7"/>
        <v>0.91044776119402981</v>
      </c>
      <c r="O78" s="4">
        <f t="shared" si="8"/>
        <v>0.83729185476903534</v>
      </c>
      <c r="P78" s="4">
        <f t="shared" si="9"/>
        <v>0.94641927649450053</v>
      </c>
      <c r="Q78" s="14" t="s">
        <v>117</v>
      </c>
      <c r="R78" s="14" t="s">
        <v>31</v>
      </c>
      <c r="S78" s="14"/>
      <c r="V78" s="1" t="s">
        <v>59</v>
      </c>
      <c r="W78" s="1">
        <v>1251</v>
      </c>
      <c r="X78" s="1" t="s">
        <v>571</v>
      </c>
      <c r="Y78" s="4">
        <f>(17+10)/K78</f>
        <v>8.0597014925373134E-2</v>
      </c>
      <c r="AB78" s="1" t="s">
        <v>65</v>
      </c>
      <c r="AC78" s="15">
        <v>1616</v>
      </c>
      <c r="AD78" s="15">
        <v>557259</v>
      </c>
      <c r="AE78" s="18" t="s">
        <v>572</v>
      </c>
    </row>
    <row r="79" spans="1:32">
      <c r="A79" s="24" t="s">
        <v>1065</v>
      </c>
      <c r="B79" s="24" t="s">
        <v>659</v>
      </c>
      <c r="C79" s="1">
        <v>213010</v>
      </c>
      <c r="D79" s="1" t="s">
        <v>27</v>
      </c>
      <c r="E79" s="1">
        <v>1.1000000000000001</v>
      </c>
      <c r="F79" s="1">
        <v>3.74</v>
      </c>
      <c r="G79" s="9">
        <v>38.658767099999999</v>
      </c>
      <c r="H79" s="9">
        <v>35.301818300000001</v>
      </c>
      <c r="I79" s="1" t="s">
        <v>556</v>
      </c>
      <c r="J79" s="1" t="s">
        <v>660</v>
      </c>
      <c r="K79" s="1">
        <v>1238</v>
      </c>
      <c r="L79" s="1">
        <v>1085</v>
      </c>
      <c r="M79" s="1">
        <f t="shared" si="6"/>
        <v>1161.5</v>
      </c>
      <c r="N79" s="4">
        <f t="shared" si="7"/>
        <v>0.87641357027463651</v>
      </c>
      <c r="O79" s="4">
        <f t="shared" si="8"/>
        <v>0.91382180024107307</v>
      </c>
      <c r="P79" s="4">
        <f t="shared" si="9"/>
        <v>0.98823298319905417</v>
      </c>
      <c r="Q79" s="1" t="s">
        <v>30</v>
      </c>
      <c r="R79" s="1" t="s">
        <v>48</v>
      </c>
      <c r="S79" s="1" t="s">
        <v>661</v>
      </c>
      <c r="X79" s="1">
        <v>100</v>
      </c>
      <c r="Y79" s="4"/>
      <c r="Z79" s="1" t="s">
        <v>227</v>
      </c>
      <c r="AA79" s="1" t="s">
        <v>171</v>
      </c>
      <c r="AB79" s="1" t="s">
        <v>65</v>
      </c>
      <c r="AC79" s="15">
        <v>1715</v>
      </c>
      <c r="AD79" s="15">
        <v>1817720</v>
      </c>
      <c r="AE79" s="18" t="s">
        <v>662</v>
      </c>
      <c r="AF79" s="1" t="s">
        <v>1186</v>
      </c>
    </row>
    <row r="80" spans="1:32">
      <c r="A80" s="40" t="s">
        <v>594</v>
      </c>
      <c r="B80" s="40"/>
      <c r="C80" s="9">
        <v>326803</v>
      </c>
      <c r="D80" s="9" t="s">
        <v>27</v>
      </c>
      <c r="E80" s="10">
        <v>0.32</v>
      </c>
      <c r="F80" s="10">
        <v>2.16</v>
      </c>
      <c r="G80" s="11">
        <v>38.441738200000003</v>
      </c>
      <c r="H80" s="19">
        <v>-116.0353173</v>
      </c>
      <c r="I80" s="9" t="s">
        <v>570</v>
      </c>
      <c r="J80" s="1" t="s">
        <v>29</v>
      </c>
      <c r="K80" s="1">
        <v>811</v>
      </c>
      <c r="L80" s="1">
        <v>536</v>
      </c>
      <c r="M80" s="1">
        <f t="shared" si="6"/>
        <v>673.5</v>
      </c>
      <c r="N80" s="4">
        <f t="shared" si="7"/>
        <v>0.66091245376078911</v>
      </c>
      <c r="O80" s="4">
        <f t="shared" si="8"/>
        <v>0.61946730348468737</v>
      </c>
      <c r="P80" s="4">
        <f t="shared" si="9"/>
        <v>0.86189098863917502</v>
      </c>
      <c r="Q80" s="14" t="s">
        <v>47</v>
      </c>
      <c r="R80" s="14" t="s">
        <v>31</v>
      </c>
      <c r="S80" s="14" t="s">
        <v>595</v>
      </c>
      <c r="V80" s="1" t="s">
        <v>89</v>
      </c>
      <c r="W80" s="1">
        <v>1700</v>
      </c>
      <c r="X80" s="1">
        <v>70</v>
      </c>
      <c r="Y80" s="4">
        <f>120/K80</f>
        <v>0.14796547472256474</v>
      </c>
      <c r="Z80" s="1">
        <v>140000</v>
      </c>
      <c r="AA80" s="1" t="s">
        <v>126</v>
      </c>
      <c r="AB80" s="1" t="s">
        <v>65</v>
      </c>
      <c r="AC80" s="15" t="s">
        <v>36</v>
      </c>
      <c r="AD80" s="15" t="s">
        <v>36</v>
      </c>
      <c r="AE80" s="18" t="s">
        <v>596</v>
      </c>
    </row>
    <row r="81" spans="1:32">
      <c r="A81" s="66" t="s">
        <v>597</v>
      </c>
      <c r="B81" s="66"/>
      <c r="C81" s="9">
        <v>326803</v>
      </c>
      <c r="D81" s="25" t="s">
        <v>27</v>
      </c>
      <c r="E81" s="26">
        <v>0.92</v>
      </c>
      <c r="F81" s="26">
        <v>3.47</v>
      </c>
      <c r="G81" s="27">
        <v>38.384231700000001</v>
      </c>
      <c r="H81" s="28">
        <v>-116.0691573</v>
      </c>
      <c r="I81" s="9" t="s">
        <v>570</v>
      </c>
      <c r="J81" s="1" t="s">
        <v>29</v>
      </c>
      <c r="K81" s="1">
        <v>1170</v>
      </c>
      <c r="L81" s="1">
        <v>1050</v>
      </c>
      <c r="M81" s="1">
        <f t="shared" si="6"/>
        <v>1110</v>
      </c>
      <c r="N81" s="4">
        <f t="shared" si="7"/>
        <v>0.89743589743589747</v>
      </c>
      <c r="O81" s="4">
        <f t="shared" si="8"/>
        <v>0.85570924184114983</v>
      </c>
      <c r="P81" s="4">
        <f t="shared" si="9"/>
        <v>0.96014923844649791</v>
      </c>
      <c r="Q81" s="14" t="s">
        <v>47</v>
      </c>
      <c r="R81" s="14" t="s">
        <v>31</v>
      </c>
      <c r="S81" s="14" t="s">
        <v>595</v>
      </c>
      <c r="V81" s="1" t="s">
        <v>89</v>
      </c>
      <c r="W81" s="1">
        <v>1700</v>
      </c>
      <c r="X81" s="1">
        <v>130</v>
      </c>
      <c r="Y81" s="4">
        <f>120/K81</f>
        <v>0.10256410256410256</v>
      </c>
      <c r="Z81" s="1" t="s">
        <v>598</v>
      </c>
      <c r="AA81" s="1" t="s">
        <v>126</v>
      </c>
      <c r="AB81" s="1" t="s">
        <v>65</v>
      </c>
      <c r="AC81" s="15" t="s">
        <v>36</v>
      </c>
      <c r="AD81" s="15" t="s">
        <v>36</v>
      </c>
      <c r="AE81" s="18" t="s">
        <v>599</v>
      </c>
    </row>
    <row r="82" spans="1:32">
      <c r="A82" s="24" t="s">
        <v>1004</v>
      </c>
      <c r="B82" s="24"/>
      <c r="C82" s="20">
        <v>213001</v>
      </c>
      <c r="D82" s="1" t="s">
        <v>27</v>
      </c>
      <c r="E82" s="1">
        <v>0.47</v>
      </c>
      <c r="F82" s="1">
        <v>2.4700000000000002</v>
      </c>
      <c r="G82" s="11">
        <v>37.847485499999998</v>
      </c>
      <c r="H82" s="19">
        <v>33.945144399999997</v>
      </c>
      <c r="I82" s="1" t="s">
        <v>556</v>
      </c>
      <c r="J82" s="1" t="s">
        <v>29</v>
      </c>
      <c r="K82" s="1">
        <v>794</v>
      </c>
      <c r="L82" s="1">
        <v>756</v>
      </c>
      <c r="M82" s="1">
        <f t="shared" si="6"/>
        <v>775</v>
      </c>
      <c r="N82" s="4">
        <f t="shared" si="7"/>
        <v>0.95214105793450876</v>
      </c>
      <c r="O82" s="4">
        <f t="shared" si="8"/>
        <v>0.94922020002906926</v>
      </c>
      <c r="P82" s="4">
        <f t="shared" si="9"/>
        <v>0.96808572321277364</v>
      </c>
      <c r="Q82" s="14" t="s">
        <v>47</v>
      </c>
      <c r="R82" s="14" t="s">
        <v>31</v>
      </c>
      <c r="S82" s="14" t="s">
        <v>557</v>
      </c>
      <c r="V82" s="1" t="s">
        <v>51</v>
      </c>
      <c r="W82" s="1">
        <v>1100</v>
      </c>
      <c r="X82" s="1">
        <v>40</v>
      </c>
      <c r="Y82" s="4"/>
      <c r="AB82" s="1" t="s">
        <v>65</v>
      </c>
      <c r="AC82" s="15" t="s">
        <v>36</v>
      </c>
      <c r="AD82" s="15" t="s">
        <v>36</v>
      </c>
      <c r="AE82" s="1" t="s">
        <v>737</v>
      </c>
      <c r="AF82" s="1" t="s">
        <v>1185</v>
      </c>
    </row>
    <row r="83" spans="1:32">
      <c r="A83" s="1" t="s">
        <v>1066</v>
      </c>
      <c r="B83" s="1" t="s">
        <v>518</v>
      </c>
      <c r="C83" s="1">
        <v>382080</v>
      </c>
      <c r="D83" s="1" t="s">
        <v>27</v>
      </c>
      <c r="E83" s="20">
        <v>0.03</v>
      </c>
      <c r="F83" s="1">
        <v>0.66</v>
      </c>
      <c r="G83" s="9">
        <v>37.836103799999997</v>
      </c>
      <c r="H83" s="9">
        <v>-25.759635500000002</v>
      </c>
      <c r="I83" s="1" t="s">
        <v>477</v>
      </c>
      <c r="J83" s="1" t="s">
        <v>94</v>
      </c>
      <c r="K83" s="1">
        <v>218</v>
      </c>
      <c r="L83" s="1">
        <v>182</v>
      </c>
      <c r="M83" s="1">
        <f t="shared" si="6"/>
        <v>200</v>
      </c>
      <c r="N83" s="4">
        <f t="shared" si="7"/>
        <v>0.83486238532110091</v>
      </c>
      <c r="O83" s="4">
        <f t="shared" si="8"/>
        <v>0.80374518857955735</v>
      </c>
      <c r="P83" s="4">
        <f t="shared" si="9"/>
        <v>0.8654525216500808</v>
      </c>
      <c r="Q83" s="1" t="s">
        <v>30</v>
      </c>
      <c r="R83" s="1" t="s">
        <v>31</v>
      </c>
      <c r="S83" s="1" t="s">
        <v>478</v>
      </c>
      <c r="V83" s="1" t="s">
        <v>208</v>
      </c>
      <c r="W83" s="1">
        <v>700</v>
      </c>
      <c r="AB83" s="1" t="s">
        <v>65</v>
      </c>
      <c r="AC83" s="15">
        <v>3515</v>
      </c>
      <c r="AD83" s="15">
        <v>127154</v>
      </c>
      <c r="AE83" s="18" t="s">
        <v>43</v>
      </c>
    </row>
    <row r="84" spans="1:32">
      <c r="A84" s="1" t="s">
        <v>510</v>
      </c>
      <c r="B84" s="1" t="s">
        <v>476</v>
      </c>
      <c r="C84" s="1">
        <v>382090</v>
      </c>
      <c r="D84" s="1" t="s">
        <v>27</v>
      </c>
      <c r="E84" s="20">
        <v>0.32</v>
      </c>
      <c r="F84" s="1">
        <v>2.04</v>
      </c>
      <c r="G84" s="9">
        <v>37.792378300000003</v>
      </c>
      <c r="H84" s="9">
        <v>-25.410163000000001</v>
      </c>
      <c r="I84" s="1" t="s">
        <v>477</v>
      </c>
      <c r="J84" s="1" t="s">
        <v>329</v>
      </c>
      <c r="K84" s="1">
        <v>694</v>
      </c>
      <c r="L84" s="1">
        <v>574</v>
      </c>
      <c r="M84" s="1">
        <f t="shared" si="6"/>
        <v>634</v>
      </c>
      <c r="N84" s="4">
        <f t="shared" si="7"/>
        <v>0.82708933717579247</v>
      </c>
      <c r="O84" s="4">
        <f t="shared" si="8"/>
        <v>0.84594310706685572</v>
      </c>
      <c r="P84" s="4">
        <f t="shared" si="9"/>
        <v>0.96627225023907526</v>
      </c>
      <c r="Q84" s="1" t="s">
        <v>30</v>
      </c>
      <c r="R84" s="1" t="s">
        <v>31</v>
      </c>
      <c r="S84" s="1" t="s">
        <v>478</v>
      </c>
      <c r="V84" s="1" t="s">
        <v>208</v>
      </c>
      <c r="W84" s="1">
        <v>600</v>
      </c>
      <c r="AB84" s="1" t="s">
        <v>65</v>
      </c>
      <c r="AC84" s="15">
        <v>406</v>
      </c>
      <c r="AD84" s="15">
        <v>119653</v>
      </c>
      <c r="AE84" s="18" t="s">
        <v>43</v>
      </c>
    </row>
    <row r="85" spans="1:32">
      <c r="A85" s="9" t="s">
        <v>475</v>
      </c>
      <c r="B85" s="1" t="s">
        <v>476</v>
      </c>
      <c r="C85" s="9">
        <v>382090</v>
      </c>
      <c r="D85" s="9" t="s">
        <v>27</v>
      </c>
      <c r="E85" s="10">
        <v>0.25</v>
      </c>
      <c r="F85" s="10">
        <v>1.79</v>
      </c>
      <c r="G85" s="9">
        <v>37.7559203</v>
      </c>
      <c r="H85" s="9">
        <v>-25.4070906</v>
      </c>
      <c r="I85" s="1" t="s">
        <v>477</v>
      </c>
      <c r="J85" s="1" t="s">
        <v>329</v>
      </c>
      <c r="K85" s="13">
        <v>628</v>
      </c>
      <c r="L85" s="1">
        <v>506</v>
      </c>
      <c r="M85" s="1">
        <f t="shared" si="6"/>
        <v>567</v>
      </c>
      <c r="N85" s="4">
        <f t="shared" si="7"/>
        <v>0.80573248407643316</v>
      </c>
      <c r="O85" s="4">
        <f t="shared" si="8"/>
        <v>0.80710649058732264</v>
      </c>
      <c r="P85" s="4">
        <f t="shared" si="9"/>
        <v>0.9804914495770396</v>
      </c>
      <c r="Q85" s="1" t="s">
        <v>30</v>
      </c>
      <c r="R85" s="1" t="s">
        <v>31</v>
      </c>
      <c r="S85" s="1" t="s">
        <v>478</v>
      </c>
      <c r="V85" s="1" t="s">
        <v>208</v>
      </c>
      <c r="W85" s="1">
        <v>500</v>
      </c>
      <c r="Y85" s="4"/>
      <c r="AB85" s="1" t="s">
        <v>65</v>
      </c>
      <c r="AC85" s="15">
        <v>406</v>
      </c>
      <c r="AD85" s="15">
        <v>119653</v>
      </c>
      <c r="AE85" s="18" t="s">
        <v>43</v>
      </c>
    </row>
    <row r="86" spans="1:32">
      <c r="A86" s="9" t="s">
        <v>130</v>
      </c>
      <c r="B86" s="9"/>
      <c r="C86" s="9">
        <v>323160</v>
      </c>
      <c r="D86" s="9" t="s">
        <v>27</v>
      </c>
      <c r="E86" s="10">
        <v>0.53</v>
      </c>
      <c r="F86" s="10">
        <v>2.66</v>
      </c>
      <c r="G86" s="11">
        <v>37.009352300000003</v>
      </c>
      <c r="H86" s="19">
        <v>-117.45094400000001</v>
      </c>
      <c r="I86" s="9" t="s">
        <v>28</v>
      </c>
      <c r="J86" s="1" t="s">
        <v>29</v>
      </c>
      <c r="K86" s="1">
        <v>910</v>
      </c>
      <c r="L86" s="1">
        <v>730</v>
      </c>
      <c r="M86" s="1">
        <f t="shared" si="6"/>
        <v>820</v>
      </c>
      <c r="N86" s="4">
        <f t="shared" si="7"/>
        <v>0.80219780219780223</v>
      </c>
      <c r="O86" s="4">
        <f t="shared" si="8"/>
        <v>0.81489790932210626</v>
      </c>
      <c r="P86" s="4">
        <f t="shared" si="9"/>
        <v>0.94128786613295834</v>
      </c>
      <c r="Q86" s="14" t="s">
        <v>117</v>
      </c>
      <c r="R86" s="14" t="s">
        <v>48</v>
      </c>
      <c r="S86" s="14" t="s">
        <v>123</v>
      </c>
      <c r="T86" s="1" t="s">
        <v>65</v>
      </c>
      <c r="U86" s="1" t="s">
        <v>124</v>
      </c>
      <c r="V86" s="1" t="s">
        <v>89</v>
      </c>
      <c r="W86" s="1">
        <v>752</v>
      </c>
      <c r="X86" s="1">
        <v>235</v>
      </c>
      <c r="Y86" s="4">
        <f>X86/K86</f>
        <v>0.25824175824175827</v>
      </c>
      <c r="Z86" s="29" t="s">
        <v>1053</v>
      </c>
      <c r="AA86" s="1" t="s">
        <v>126</v>
      </c>
      <c r="AB86" s="1" t="s">
        <v>65</v>
      </c>
      <c r="AC86" s="15">
        <v>18</v>
      </c>
      <c r="AD86" s="15">
        <v>15354</v>
      </c>
      <c r="AE86" s="1" t="s">
        <v>127</v>
      </c>
    </row>
    <row r="87" spans="1:32">
      <c r="A87" s="9" t="s">
        <v>684</v>
      </c>
      <c r="B87" s="9"/>
      <c r="C87" s="9">
        <v>323160</v>
      </c>
      <c r="D87" s="9" t="s">
        <v>27</v>
      </c>
      <c r="E87" s="10">
        <v>0.26</v>
      </c>
      <c r="F87" s="10">
        <v>2.17</v>
      </c>
      <c r="G87" s="9">
        <v>37.003059</v>
      </c>
      <c r="H87" s="9">
        <v>-117.452958</v>
      </c>
      <c r="I87" s="9" t="s">
        <v>28</v>
      </c>
      <c r="J87" s="1" t="s">
        <v>29</v>
      </c>
      <c r="K87" s="1">
        <v>740</v>
      </c>
      <c r="L87" s="1">
        <v>390</v>
      </c>
      <c r="M87" s="1">
        <f t="shared" si="6"/>
        <v>565</v>
      </c>
      <c r="N87" s="4">
        <f t="shared" si="7"/>
        <v>0.52702702702702697</v>
      </c>
      <c r="O87" s="4">
        <f t="shared" si="8"/>
        <v>0.60453301977929574</v>
      </c>
      <c r="P87" s="4">
        <f t="shared" si="9"/>
        <v>0.69384704702443989</v>
      </c>
      <c r="Q87" s="14" t="s">
        <v>117</v>
      </c>
      <c r="R87" s="14" t="s">
        <v>48</v>
      </c>
      <c r="S87" s="14" t="s">
        <v>123</v>
      </c>
      <c r="T87" s="1" t="s">
        <v>65</v>
      </c>
      <c r="U87" s="1" t="s">
        <v>124</v>
      </c>
      <c r="V87" s="1" t="s">
        <v>89</v>
      </c>
      <c r="W87" s="1">
        <v>752</v>
      </c>
      <c r="X87" s="1" t="s">
        <v>128</v>
      </c>
      <c r="Y87" s="4"/>
      <c r="Z87" s="29" t="s">
        <v>1053</v>
      </c>
      <c r="AA87" s="1" t="s">
        <v>126</v>
      </c>
      <c r="AB87" s="1" t="s">
        <v>48</v>
      </c>
      <c r="AC87" s="15">
        <v>18</v>
      </c>
      <c r="AD87" s="15">
        <v>15354</v>
      </c>
      <c r="AE87" s="1" t="s">
        <v>127</v>
      </c>
    </row>
    <row r="88" spans="1:32" ht="15" customHeight="1">
      <c r="A88" s="1" t="s">
        <v>712</v>
      </c>
      <c r="C88" s="9">
        <v>323160</v>
      </c>
      <c r="D88" s="1" t="s">
        <v>27</v>
      </c>
      <c r="E88" s="1">
        <v>0.05</v>
      </c>
      <c r="F88" s="1">
        <v>1.17</v>
      </c>
      <c r="G88" s="9">
        <v>37.008174099999998</v>
      </c>
      <c r="H88" s="9">
        <v>-117.4586137</v>
      </c>
      <c r="I88" s="1" t="s">
        <v>28</v>
      </c>
      <c r="J88" s="1" t="s">
        <v>29</v>
      </c>
      <c r="K88" s="1">
        <v>464</v>
      </c>
      <c r="L88" s="1">
        <v>108</v>
      </c>
      <c r="M88" s="1">
        <f t="shared" si="6"/>
        <v>286</v>
      </c>
      <c r="N88" s="4">
        <f t="shared" si="7"/>
        <v>0.23275862068965517</v>
      </c>
      <c r="O88" s="4">
        <f>1/(((PI()*((K88/2000))^2))/E88)</f>
        <v>0.29569512316419316</v>
      </c>
      <c r="P88" s="4">
        <f t="shared" si="9"/>
        <v>0.45899520105044839</v>
      </c>
      <c r="Q88" s="14" t="s">
        <v>117</v>
      </c>
      <c r="R88" s="1" t="s">
        <v>48</v>
      </c>
      <c r="S88" s="1" t="s">
        <v>713</v>
      </c>
      <c r="W88" s="1">
        <v>752</v>
      </c>
      <c r="Z88" s="29" t="s">
        <v>1053</v>
      </c>
      <c r="AB88" s="1" t="s">
        <v>48</v>
      </c>
      <c r="AC88" s="1"/>
      <c r="AD88" s="1"/>
      <c r="AE88" s="1" t="s">
        <v>1035</v>
      </c>
    </row>
    <row r="89" spans="1:32">
      <c r="A89" s="9" t="s">
        <v>685</v>
      </c>
      <c r="B89" s="9" t="s">
        <v>122</v>
      </c>
      <c r="C89" s="9">
        <v>323160</v>
      </c>
      <c r="D89" s="9" t="s">
        <v>27</v>
      </c>
      <c r="E89" s="10">
        <v>0.01</v>
      </c>
      <c r="F89" s="10">
        <v>0.4</v>
      </c>
      <c r="G89" s="9">
        <v>37.008718899999998</v>
      </c>
      <c r="H89" s="9">
        <v>-117.4617006</v>
      </c>
      <c r="I89" s="9" t="s">
        <v>28</v>
      </c>
      <c r="J89" s="1" t="s">
        <v>29</v>
      </c>
      <c r="K89" s="1">
        <v>141</v>
      </c>
      <c r="L89" s="1">
        <v>105</v>
      </c>
      <c r="M89" s="1">
        <f t="shared" si="6"/>
        <v>123</v>
      </c>
      <c r="N89" s="4">
        <f t="shared" si="7"/>
        <v>0.74468085106382975</v>
      </c>
      <c r="O89" s="4">
        <f t="shared" ref="O89:O120" si="10">E89/(PI()*((K89/2000)^2))</f>
        <v>0.64043033284802731</v>
      </c>
      <c r="P89" s="4">
        <f t="shared" si="9"/>
        <v>0.78539816339744828</v>
      </c>
      <c r="Q89" s="14" t="s">
        <v>117</v>
      </c>
      <c r="R89" s="14" t="s">
        <v>48</v>
      </c>
      <c r="S89" s="14" t="s">
        <v>123</v>
      </c>
      <c r="T89" s="1" t="s">
        <v>65</v>
      </c>
      <c r="U89" s="1" t="s">
        <v>124</v>
      </c>
      <c r="V89" s="1" t="s">
        <v>89</v>
      </c>
      <c r="W89" s="1" t="s">
        <v>709</v>
      </c>
      <c r="X89" s="1" t="s">
        <v>125</v>
      </c>
      <c r="Y89" s="4"/>
      <c r="Z89" s="29" t="s">
        <v>1053</v>
      </c>
      <c r="AA89" s="1" t="s">
        <v>126</v>
      </c>
      <c r="AB89" s="1" t="s">
        <v>65</v>
      </c>
      <c r="AC89" s="15">
        <v>18</v>
      </c>
      <c r="AD89" s="15">
        <v>15354</v>
      </c>
      <c r="AE89" s="1" t="s">
        <v>127</v>
      </c>
    </row>
    <row r="90" spans="1:32">
      <c r="A90" s="9" t="s">
        <v>288</v>
      </c>
      <c r="B90" s="9"/>
      <c r="C90" s="9">
        <v>329020</v>
      </c>
      <c r="D90" s="9" t="s">
        <v>27</v>
      </c>
      <c r="E90" s="10">
        <v>2.29</v>
      </c>
      <c r="F90" s="10">
        <v>5.47</v>
      </c>
      <c r="G90" s="11">
        <v>35.169264099999999</v>
      </c>
      <c r="H90" s="19">
        <v>-111.7169502</v>
      </c>
      <c r="I90" s="9" t="s">
        <v>28</v>
      </c>
      <c r="J90" s="1" t="s">
        <v>29</v>
      </c>
      <c r="K90" s="1">
        <v>1808</v>
      </c>
      <c r="L90" s="24">
        <v>1671</v>
      </c>
      <c r="M90" s="1">
        <f t="shared" si="6"/>
        <v>1739.5</v>
      </c>
      <c r="N90" s="4">
        <f t="shared" si="7"/>
        <v>0.92422566371681414</v>
      </c>
      <c r="O90" s="4">
        <f t="shared" si="10"/>
        <v>0.89196692105989195</v>
      </c>
      <c r="P90" s="4">
        <f t="shared" si="9"/>
        <v>0.96176882068662717</v>
      </c>
      <c r="Q90" s="14" t="s">
        <v>30</v>
      </c>
      <c r="R90" s="14" t="s">
        <v>31</v>
      </c>
      <c r="S90" s="14" t="s">
        <v>289</v>
      </c>
      <c r="U90" s="1" t="s">
        <v>286</v>
      </c>
      <c r="V90" s="1" t="s">
        <v>89</v>
      </c>
      <c r="W90" s="1">
        <v>2100</v>
      </c>
      <c r="X90" s="1">
        <v>442</v>
      </c>
      <c r="Y90" s="4">
        <f t="shared" ref="Y90:Y97" si="11">X90/K90</f>
        <v>0.24446902654867256</v>
      </c>
      <c r="AB90" s="1" t="s">
        <v>65</v>
      </c>
      <c r="AC90" s="15" t="s">
        <v>36</v>
      </c>
      <c r="AD90" s="15" t="s">
        <v>36</v>
      </c>
      <c r="AE90" s="18" t="s">
        <v>290</v>
      </c>
    </row>
    <row r="91" spans="1:32">
      <c r="A91" s="1" t="s">
        <v>283</v>
      </c>
      <c r="D91" s="1" t="s">
        <v>27</v>
      </c>
      <c r="E91" s="1">
        <v>2.16</v>
      </c>
      <c r="F91" s="1">
        <v>5.31</v>
      </c>
      <c r="G91" s="11">
        <v>34.779283399999997</v>
      </c>
      <c r="H91" s="19">
        <v>-111.5164455</v>
      </c>
      <c r="I91" s="1" t="s">
        <v>28</v>
      </c>
      <c r="J91" s="9" t="s">
        <v>284</v>
      </c>
      <c r="K91" s="1">
        <v>1780</v>
      </c>
      <c r="L91" s="1">
        <v>1646</v>
      </c>
      <c r="M91" s="1">
        <f t="shared" si="6"/>
        <v>1713</v>
      </c>
      <c r="N91" s="4">
        <f t="shared" si="7"/>
        <v>0.92471910112359545</v>
      </c>
      <c r="O91" s="4">
        <f t="shared" si="10"/>
        <v>0.86800827440599404</v>
      </c>
      <c r="P91" s="4">
        <f t="shared" si="9"/>
        <v>0.96266364947690719</v>
      </c>
      <c r="Q91" s="14" t="s">
        <v>47</v>
      </c>
      <c r="R91" s="14" t="s">
        <v>31</v>
      </c>
      <c r="S91" s="1" t="s">
        <v>285</v>
      </c>
      <c r="U91" s="1" t="s">
        <v>286</v>
      </c>
      <c r="V91" s="1" t="s">
        <v>59</v>
      </c>
      <c r="W91" s="1">
        <v>2000</v>
      </c>
      <c r="X91" s="1">
        <v>90</v>
      </c>
      <c r="Y91" s="4">
        <f t="shared" si="11"/>
        <v>5.0561797752808987E-2</v>
      </c>
      <c r="AA91" s="1" t="s">
        <v>53</v>
      </c>
      <c r="AB91" s="1" t="s">
        <v>65</v>
      </c>
      <c r="AC91" s="15" t="s">
        <v>36</v>
      </c>
      <c r="AD91" s="15" t="s">
        <v>36</v>
      </c>
      <c r="AE91" s="18" t="s">
        <v>287</v>
      </c>
    </row>
    <row r="92" spans="1:32">
      <c r="A92" s="9" t="s">
        <v>629</v>
      </c>
      <c r="B92" s="9"/>
      <c r="C92" s="9">
        <v>327120</v>
      </c>
      <c r="D92" s="9" t="s">
        <v>27</v>
      </c>
      <c r="E92" s="10">
        <v>1.3</v>
      </c>
      <c r="F92" s="10">
        <v>4.13</v>
      </c>
      <c r="G92" s="11">
        <v>34.769691700000003</v>
      </c>
      <c r="H92" s="21">
        <v>-108.2906503</v>
      </c>
      <c r="I92" s="9" t="s">
        <v>28</v>
      </c>
      <c r="J92" s="1" t="s">
        <v>29</v>
      </c>
      <c r="K92" s="1">
        <v>1380</v>
      </c>
      <c r="L92" s="1">
        <v>1150</v>
      </c>
      <c r="M92" s="1">
        <f t="shared" si="6"/>
        <v>1265</v>
      </c>
      <c r="N92" s="4">
        <f t="shared" si="7"/>
        <v>0.83333333333333337</v>
      </c>
      <c r="O92" s="4">
        <f t="shared" si="10"/>
        <v>0.86915112799606808</v>
      </c>
      <c r="P92" s="4">
        <f t="shared" si="9"/>
        <v>0.95775210024488189</v>
      </c>
      <c r="Q92" s="14" t="s">
        <v>30</v>
      </c>
      <c r="R92" s="14" t="s">
        <v>31</v>
      </c>
      <c r="S92" s="14" t="s">
        <v>619</v>
      </c>
      <c r="V92" s="1" t="s">
        <v>89</v>
      </c>
      <c r="W92" s="1">
        <v>2200</v>
      </c>
      <c r="X92" s="1">
        <v>88</v>
      </c>
      <c r="Y92" s="4">
        <f t="shared" si="11"/>
        <v>6.3768115942028983E-2</v>
      </c>
      <c r="AB92" s="1" t="s">
        <v>65</v>
      </c>
      <c r="AC92" s="15" t="s">
        <v>36</v>
      </c>
      <c r="AD92" s="15" t="s">
        <v>36</v>
      </c>
      <c r="AE92" s="18" t="s">
        <v>620</v>
      </c>
    </row>
    <row r="93" spans="1:32">
      <c r="A93" s="9" t="s">
        <v>908</v>
      </c>
      <c r="B93" s="9"/>
      <c r="C93" s="9">
        <v>327120</v>
      </c>
      <c r="D93" s="9" t="s">
        <v>27</v>
      </c>
      <c r="E93" s="10">
        <v>0.77</v>
      </c>
      <c r="F93" s="10">
        <v>3.16</v>
      </c>
      <c r="G93" s="11">
        <v>34.726108099999998</v>
      </c>
      <c r="H93" s="19">
        <v>-108.3561668</v>
      </c>
      <c r="I93" s="9" t="s">
        <v>28</v>
      </c>
      <c r="J93" s="1" t="s">
        <v>29</v>
      </c>
      <c r="K93" s="1">
        <v>1090</v>
      </c>
      <c r="L93" s="1">
        <v>950</v>
      </c>
      <c r="M93" s="1">
        <f t="shared" si="6"/>
        <v>1020</v>
      </c>
      <c r="N93" s="4">
        <f t="shared" si="7"/>
        <v>0.87155963302752293</v>
      </c>
      <c r="O93" s="4">
        <f t="shared" si="10"/>
        <v>0.82517839360834544</v>
      </c>
      <c r="P93" s="4">
        <f t="shared" si="9"/>
        <v>0.96900590581002255</v>
      </c>
      <c r="Q93" s="14" t="s">
        <v>30</v>
      </c>
      <c r="R93" s="14" t="s">
        <v>31</v>
      </c>
      <c r="S93" s="14" t="s">
        <v>619</v>
      </c>
      <c r="V93" s="1" t="s">
        <v>89</v>
      </c>
      <c r="W93" s="1">
        <v>2200</v>
      </c>
      <c r="X93" s="1">
        <v>100</v>
      </c>
      <c r="Y93" s="4">
        <f t="shared" si="11"/>
        <v>9.1743119266055051E-2</v>
      </c>
      <c r="AB93" s="1" t="s">
        <v>65</v>
      </c>
      <c r="AC93" s="15" t="s">
        <v>36</v>
      </c>
      <c r="AD93" s="15" t="s">
        <v>36</v>
      </c>
      <c r="AE93" s="18" t="s">
        <v>620</v>
      </c>
    </row>
    <row r="94" spans="1:32">
      <c r="A94" s="9" t="s">
        <v>618</v>
      </c>
      <c r="B94" s="9"/>
      <c r="C94" s="9">
        <v>327120</v>
      </c>
      <c r="D94" s="9" t="s">
        <v>27</v>
      </c>
      <c r="E94" s="10">
        <v>3.3</v>
      </c>
      <c r="F94" s="10">
        <v>6.75</v>
      </c>
      <c r="G94" s="11">
        <v>34.446488600000002</v>
      </c>
      <c r="H94" s="19">
        <v>-108.7683675</v>
      </c>
      <c r="I94" s="9" t="s">
        <v>570</v>
      </c>
      <c r="J94" s="9" t="s">
        <v>284</v>
      </c>
      <c r="K94" s="1">
        <v>2415</v>
      </c>
      <c r="L94" s="1">
        <v>2070</v>
      </c>
      <c r="M94" s="1">
        <f t="shared" si="6"/>
        <v>2242.5</v>
      </c>
      <c r="N94" s="4">
        <f t="shared" si="7"/>
        <v>0.8571428571428571</v>
      </c>
      <c r="O94" s="4">
        <f t="shared" si="10"/>
        <v>0.72042668066236071</v>
      </c>
      <c r="P94" s="4">
        <f t="shared" si="9"/>
        <v>0.91015688400296901</v>
      </c>
      <c r="Q94" s="14" t="s">
        <v>47</v>
      </c>
      <c r="R94" s="14" t="s">
        <v>31</v>
      </c>
      <c r="S94" s="14" t="s">
        <v>619</v>
      </c>
      <c r="V94" s="1" t="s">
        <v>89</v>
      </c>
      <c r="W94" s="1">
        <v>1800</v>
      </c>
      <c r="X94" s="1">
        <v>84</v>
      </c>
      <c r="Y94" s="4">
        <f t="shared" si="11"/>
        <v>3.4782608695652174E-2</v>
      </c>
      <c r="Z94" s="1" t="s">
        <v>202</v>
      </c>
      <c r="AB94" s="1" t="s">
        <v>65</v>
      </c>
      <c r="AC94" s="15">
        <v>18</v>
      </c>
      <c r="AD94" s="15">
        <v>54738</v>
      </c>
      <c r="AE94" s="18" t="s">
        <v>620</v>
      </c>
    </row>
    <row r="95" spans="1:32" ht="14.25" customHeight="1">
      <c r="A95" s="9" t="s">
        <v>637</v>
      </c>
      <c r="B95" s="9"/>
      <c r="C95" s="9">
        <v>329802</v>
      </c>
      <c r="D95" s="9" t="s">
        <v>27</v>
      </c>
      <c r="E95" s="10">
        <v>0.41389999999999999</v>
      </c>
      <c r="F95" s="10">
        <v>2.4721000000000002</v>
      </c>
      <c r="G95" s="11">
        <v>34.316300699999999</v>
      </c>
      <c r="H95" s="19">
        <v>-109.5539837</v>
      </c>
      <c r="I95" s="9" t="s">
        <v>570</v>
      </c>
      <c r="J95" s="1" t="s">
        <v>29</v>
      </c>
      <c r="K95" s="1">
        <v>930</v>
      </c>
      <c r="L95" s="1">
        <v>575</v>
      </c>
      <c r="M95" s="1">
        <f t="shared" si="6"/>
        <v>752.5</v>
      </c>
      <c r="N95" s="4">
        <f t="shared" si="7"/>
        <v>0.61827956989247312</v>
      </c>
      <c r="O95" s="4">
        <f t="shared" si="10"/>
        <v>0.60931188295280814</v>
      </c>
      <c r="P95" s="4">
        <f t="shared" si="9"/>
        <v>0.85108555826427501</v>
      </c>
      <c r="Q95" s="14" t="s">
        <v>47</v>
      </c>
      <c r="R95" s="14" t="s">
        <v>31</v>
      </c>
      <c r="S95" s="14" t="s">
        <v>634</v>
      </c>
      <c r="V95" s="1" t="s">
        <v>89</v>
      </c>
      <c r="W95" s="1">
        <v>2800</v>
      </c>
      <c r="X95" s="1">
        <v>180</v>
      </c>
      <c r="Y95" s="4">
        <f t="shared" si="11"/>
        <v>0.19354838709677419</v>
      </c>
      <c r="Z95" s="1" t="s">
        <v>635</v>
      </c>
      <c r="AA95" s="1" t="s">
        <v>53</v>
      </c>
      <c r="AB95" s="1" t="s">
        <v>65</v>
      </c>
      <c r="AC95" s="15" t="s">
        <v>36</v>
      </c>
      <c r="AD95" s="15" t="s">
        <v>36</v>
      </c>
      <c r="AE95" s="18" t="s">
        <v>636</v>
      </c>
    </row>
    <row r="96" spans="1:32" ht="14.25" customHeight="1">
      <c r="A96" s="9" t="s">
        <v>628</v>
      </c>
      <c r="B96" s="9"/>
      <c r="C96" s="9">
        <v>327812</v>
      </c>
      <c r="D96" s="1" t="s">
        <v>27</v>
      </c>
      <c r="E96" s="1">
        <v>0.83</v>
      </c>
      <c r="F96" s="1">
        <v>3.27</v>
      </c>
      <c r="G96" s="11">
        <v>34.222536499999997</v>
      </c>
      <c r="H96" s="19">
        <v>-108.82214449999999</v>
      </c>
      <c r="I96" s="9" t="s">
        <v>28</v>
      </c>
      <c r="J96" s="1" t="s">
        <v>29</v>
      </c>
      <c r="K96" s="1">
        <v>1056</v>
      </c>
      <c r="L96" s="1">
        <v>973</v>
      </c>
      <c r="M96" s="1">
        <f t="shared" si="6"/>
        <v>1014.5</v>
      </c>
      <c r="N96" s="4">
        <f t="shared" si="7"/>
        <v>0.92140151515151514</v>
      </c>
      <c r="O96" s="4">
        <f t="shared" si="10"/>
        <v>0.94767707448256078</v>
      </c>
      <c r="P96" s="4">
        <f t="shared" si="9"/>
        <v>0.97542178547616742</v>
      </c>
      <c r="Q96" s="14" t="s">
        <v>47</v>
      </c>
      <c r="R96" s="14" t="s">
        <v>31</v>
      </c>
      <c r="S96" s="14" t="s">
        <v>626</v>
      </c>
      <c r="V96" s="1" t="s">
        <v>89</v>
      </c>
      <c r="W96" s="1">
        <v>2100</v>
      </c>
      <c r="X96" s="1">
        <v>52</v>
      </c>
      <c r="Y96" s="4">
        <f t="shared" si="11"/>
        <v>4.924242424242424E-2</v>
      </c>
      <c r="AB96" s="1" t="s">
        <v>65</v>
      </c>
      <c r="AC96" s="15" t="s">
        <v>36</v>
      </c>
      <c r="AD96" s="15" t="s">
        <v>36</v>
      </c>
      <c r="AE96" s="18" t="s">
        <v>627</v>
      </c>
    </row>
    <row r="97" spans="1:32" ht="14.25" customHeight="1">
      <c r="A97" s="9" t="s">
        <v>625</v>
      </c>
      <c r="B97" s="9"/>
      <c r="C97" s="9">
        <v>327812</v>
      </c>
      <c r="D97" s="1" t="s">
        <v>27</v>
      </c>
      <c r="E97" s="1">
        <v>0.1</v>
      </c>
      <c r="F97" s="1">
        <v>1.24</v>
      </c>
      <c r="G97" s="9">
        <v>34.215169000000003</v>
      </c>
      <c r="H97" s="9">
        <v>-108.8257795</v>
      </c>
      <c r="I97" s="9" t="s">
        <v>28</v>
      </c>
      <c r="J97" s="1" t="s">
        <v>29</v>
      </c>
      <c r="K97" s="1">
        <v>540</v>
      </c>
      <c r="L97" s="1">
        <v>167</v>
      </c>
      <c r="M97" s="1">
        <f t="shared" si="6"/>
        <v>353.5</v>
      </c>
      <c r="N97" s="4">
        <f t="shared" si="7"/>
        <v>0.30925925925925923</v>
      </c>
      <c r="O97" s="4">
        <f t="shared" si="10"/>
        <v>0.43663907569792959</v>
      </c>
      <c r="P97" s="4">
        <f t="shared" si="9"/>
        <v>0.81727176212013353</v>
      </c>
      <c r="Q97" s="14" t="s">
        <v>47</v>
      </c>
      <c r="R97" s="14" t="s">
        <v>31</v>
      </c>
      <c r="S97" s="14" t="s">
        <v>626</v>
      </c>
      <c r="V97" s="1" t="s">
        <v>89</v>
      </c>
      <c r="W97" s="1">
        <v>2100</v>
      </c>
      <c r="X97" s="1">
        <v>22</v>
      </c>
      <c r="Y97" s="4">
        <f t="shared" si="11"/>
        <v>4.0740740740740744E-2</v>
      </c>
      <c r="AB97" s="1" t="s">
        <v>48</v>
      </c>
      <c r="AC97" s="15" t="s">
        <v>36</v>
      </c>
      <c r="AD97" s="15" t="s">
        <v>36</v>
      </c>
      <c r="AE97" s="18" t="s">
        <v>627</v>
      </c>
    </row>
    <row r="98" spans="1:32">
      <c r="A98" s="1" t="s">
        <v>62</v>
      </c>
      <c r="C98" s="1">
        <v>341001</v>
      </c>
      <c r="D98" s="1" t="s">
        <v>27</v>
      </c>
      <c r="E98" s="1">
        <v>0.6</v>
      </c>
      <c r="F98" s="1">
        <v>2.8</v>
      </c>
      <c r="G98" s="11">
        <v>31.985139199999999</v>
      </c>
      <c r="H98" s="19">
        <v>-113.5093897</v>
      </c>
      <c r="I98" s="1" t="s">
        <v>45</v>
      </c>
      <c r="J98" s="1" t="s">
        <v>29</v>
      </c>
      <c r="K98" s="30">
        <v>907</v>
      </c>
      <c r="L98" s="1">
        <v>842</v>
      </c>
      <c r="M98" s="1">
        <f t="shared" ref="M98:M129" si="12">AVERAGE(K98:L98)</f>
        <v>874.5</v>
      </c>
      <c r="N98" s="4">
        <f t="shared" si="7"/>
        <v>0.92833517089305406</v>
      </c>
      <c r="O98" s="4">
        <f t="shared" si="10"/>
        <v>0.9286387351605575</v>
      </c>
      <c r="P98" s="4">
        <f t="shared" si="9"/>
        <v>0.96171203681320205</v>
      </c>
      <c r="Q98" s="14" t="s">
        <v>47</v>
      </c>
      <c r="R98" s="14" t="s">
        <v>48</v>
      </c>
      <c r="S98" s="14" t="s">
        <v>57</v>
      </c>
      <c r="U98" s="1" t="s">
        <v>58</v>
      </c>
      <c r="V98" s="1" t="s">
        <v>59</v>
      </c>
      <c r="W98" s="1">
        <v>240</v>
      </c>
      <c r="Y98" s="4"/>
      <c r="Z98" s="1" t="s">
        <v>60</v>
      </c>
      <c r="AA98" s="1" t="s">
        <v>1124</v>
      </c>
      <c r="AB98" s="1" t="s">
        <v>65</v>
      </c>
      <c r="AC98" s="15">
        <v>92</v>
      </c>
      <c r="AD98" s="15">
        <v>62753</v>
      </c>
      <c r="AE98" s="18" t="s">
        <v>61</v>
      </c>
    </row>
    <row r="99" spans="1:32">
      <c r="A99" s="1" t="s">
        <v>145</v>
      </c>
      <c r="B99" s="1" t="s">
        <v>146</v>
      </c>
      <c r="C99" s="1">
        <v>341001</v>
      </c>
      <c r="D99" s="1" t="s">
        <v>27</v>
      </c>
      <c r="E99" s="1">
        <v>0.96</v>
      </c>
      <c r="F99" s="1">
        <v>3.62</v>
      </c>
      <c r="G99" s="11">
        <v>31.983712799999999</v>
      </c>
      <c r="H99" s="19">
        <v>-113.4468959</v>
      </c>
      <c r="I99" s="1" t="s">
        <v>45</v>
      </c>
      <c r="J99" s="1" t="s">
        <v>29</v>
      </c>
      <c r="K99" s="30">
        <v>1251</v>
      </c>
      <c r="L99" s="1">
        <v>1142</v>
      </c>
      <c r="M99" s="1">
        <f t="shared" si="12"/>
        <v>1196.5</v>
      </c>
      <c r="N99" s="4">
        <f t="shared" si="7"/>
        <v>0.91286970423661074</v>
      </c>
      <c r="O99" s="4">
        <f t="shared" si="10"/>
        <v>0.78102823125720466</v>
      </c>
      <c r="P99" s="4">
        <f t="shared" si="9"/>
        <v>0.92058513093196226</v>
      </c>
      <c r="Q99" s="14" t="s">
        <v>47</v>
      </c>
      <c r="R99" s="14" t="s">
        <v>48</v>
      </c>
      <c r="S99" s="14" t="s">
        <v>57</v>
      </c>
      <c r="U99" s="1" t="s">
        <v>147</v>
      </c>
      <c r="V99" s="1" t="s">
        <v>59</v>
      </c>
      <c r="W99" s="1">
        <v>280</v>
      </c>
      <c r="X99" s="1">
        <v>60</v>
      </c>
      <c r="Y99" s="4">
        <f>X99/K99</f>
        <v>4.7961630695443645E-2</v>
      </c>
      <c r="Z99" s="1" t="s">
        <v>60</v>
      </c>
      <c r="AA99" s="1" t="s">
        <v>1124</v>
      </c>
      <c r="AB99" s="1" t="s">
        <v>65</v>
      </c>
      <c r="AC99" s="15">
        <v>92</v>
      </c>
      <c r="AD99" s="15">
        <v>62753</v>
      </c>
      <c r="AE99" s="18" t="s">
        <v>61</v>
      </c>
    </row>
    <row r="100" spans="1:32">
      <c r="A100" s="1" t="s">
        <v>140</v>
      </c>
      <c r="B100" s="1" t="s">
        <v>141</v>
      </c>
      <c r="C100" s="1">
        <v>341001</v>
      </c>
      <c r="D100" s="1" t="s">
        <v>27</v>
      </c>
      <c r="E100" s="1">
        <v>2.31</v>
      </c>
      <c r="F100" s="1">
        <v>5.55</v>
      </c>
      <c r="G100" s="11">
        <v>31.976006300000002</v>
      </c>
      <c r="H100" s="19">
        <v>-113.6270281</v>
      </c>
      <c r="I100" s="1" t="s">
        <v>45</v>
      </c>
      <c r="J100" s="1" t="s">
        <v>29</v>
      </c>
      <c r="K100" s="30">
        <v>1892</v>
      </c>
      <c r="L100" s="24">
        <v>1671</v>
      </c>
      <c r="M100" s="1">
        <f t="shared" si="12"/>
        <v>1781.5</v>
      </c>
      <c r="N100" s="4">
        <f t="shared" si="7"/>
        <v>0.88319238900634245</v>
      </c>
      <c r="O100" s="4">
        <f t="shared" si="10"/>
        <v>0.82163670901465224</v>
      </c>
      <c r="P100" s="4">
        <f t="shared" si="9"/>
        <v>0.94240130246472509</v>
      </c>
      <c r="Q100" s="14" t="s">
        <v>47</v>
      </c>
      <c r="R100" s="14" t="s">
        <v>48</v>
      </c>
      <c r="S100" s="14" t="s">
        <v>57</v>
      </c>
      <c r="U100" s="1" t="s">
        <v>142</v>
      </c>
      <c r="V100" s="1" t="s">
        <v>59</v>
      </c>
      <c r="W100" s="1">
        <v>240</v>
      </c>
      <c r="X100" s="1">
        <v>130</v>
      </c>
      <c r="Y100" s="4">
        <f>X100/K100</f>
        <v>6.8710359408033828E-2</v>
      </c>
      <c r="Z100" s="1" t="s">
        <v>60</v>
      </c>
      <c r="AA100" s="1" t="s">
        <v>1124</v>
      </c>
      <c r="AB100" s="1" t="s">
        <v>65</v>
      </c>
      <c r="AC100" s="15">
        <v>92</v>
      </c>
      <c r="AD100" s="15">
        <v>62753</v>
      </c>
      <c r="AE100" s="18" t="s">
        <v>61</v>
      </c>
    </row>
    <row r="101" spans="1:32">
      <c r="A101" s="1" t="s">
        <v>273</v>
      </c>
      <c r="B101" s="1" t="s">
        <v>274</v>
      </c>
      <c r="C101" s="1">
        <v>341001</v>
      </c>
      <c r="D101" s="1" t="s">
        <v>27</v>
      </c>
      <c r="E101" s="1">
        <v>0.35</v>
      </c>
      <c r="F101" s="1">
        <v>2.15</v>
      </c>
      <c r="G101" s="11">
        <v>31.971891100000001</v>
      </c>
      <c r="H101" s="19">
        <v>-113.57484719999999</v>
      </c>
      <c r="I101" s="1" t="s">
        <v>45</v>
      </c>
      <c r="J101" s="1" t="s">
        <v>29</v>
      </c>
      <c r="K101" s="30">
        <v>705</v>
      </c>
      <c r="L101" s="1">
        <v>595</v>
      </c>
      <c r="M101" s="1">
        <f t="shared" si="12"/>
        <v>650</v>
      </c>
      <c r="N101" s="4">
        <f t="shared" si="7"/>
        <v>0.84397163120567376</v>
      </c>
      <c r="O101" s="4">
        <f t="shared" si="10"/>
        <v>0.89660246598723803</v>
      </c>
      <c r="P101" s="4">
        <f t="shared" si="9"/>
        <v>0.95148290211481024</v>
      </c>
      <c r="Q101" s="14" t="s">
        <v>47</v>
      </c>
      <c r="R101" s="14" t="s">
        <v>48</v>
      </c>
      <c r="S101" s="14" t="s">
        <v>57</v>
      </c>
      <c r="U101" s="1" t="s">
        <v>272</v>
      </c>
      <c r="V101" s="1" t="s">
        <v>59</v>
      </c>
      <c r="W101" s="1">
        <v>280</v>
      </c>
      <c r="Y101" s="4"/>
      <c r="Z101" s="1" t="s">
        <v>110</v>
      </c>
      <c r="AB101" s="1" t="s">
        <v>65</v>
      </c>
      <c r="AC101" s="15">
        <v>92</v>
      </c>
      <c r="AD101" s="15">
        <v>62753</v>
      </c>
      <c r="AE101" s="18" t="s">
        <v>61</v>
      </c>
    </row>
    <row r="102" spans="1:32">
      <c r="A102" s="1" t="s">
        <v>271</v>
      </c>
      <c r="C102" s="1">
        <v>341001</v>
      </c>
      <c r="D102" s="1" t="s">
        <v>27</v>
      </c>
      <c r="E102" s="1">
        <v>0.33</v>
      </c>
      <c r="F102" s="1">
        <v>2.2999999999999998</v>
      </c>
      <c r="G102" s="11">
        <v>31.962318700000001</v>
      </c>
      <c r="H102" s="19">
        <v>-113.6137969</v>
      </c>
      <c r="I102" s="1" t="s">
        <v>45</v>
      </c>
      <c r="J102" s="1" t="s">
        <v>29</v>
      </c>
      <c r="K102" s="30">
        <v>832</v>
      </c>
      <c r="L102" s="1">
        <v>589</v>
      </c>
      <c r="M102" s="1">
        <f t="shared" si="12"/>
        <v>710.5</v>
      </c>
      <c r="N102" s="4">
        <f t="shared" si="7"/>
        <v>0.70793269230769229</v>
      </c>
      <c r="O102" s="4">
        <f t="shared" si="10"/>
        <v>0.60698422730590651</v>
      </c>
      <c r="P102" s="4">
        <f t="shared" si="9"/>
        <v>0.78391347877854967</v>
      </c>
      <c r="Q102" s="14" t="s">
        <v>47</v>
      </c>
      <c r="R102" s="14" t="s">
        <v>48</v>
      </c>
      <c r="S102" s="14" t="s">
        <v>57</v>
      </c>
      <c r="U102" s="1" t="s">
        <v>272</v>
      </c>
      <c r="V102" s="1" t="s">
        <v>59</v>
      </c>
      <c r="W102" s="1">
        <v>240</v>
      </c>
      <c r="Y102" s="4"/>
      <c r="Z102" s="1" t="s">
        <v>60</v>
      </c>
      <c r="AA102" s="1" t="s">
        <v>1124</v>
      </c>
      <c r="AB102" s="1" t="s">
        <v>48</v>
      </c>
      <c r="AC102" s="15">
        <v>92</v>
      </c>
      <c r="AD102" s="15">
        <v>62753</v>
      </c>
      <c r="AE102" s="18" t="s">
        <v>61</v>
      </c>
    </row>
    <row r="103" spans="1:32">
      <c r="A103" s="1" t="s">
        <v>143</v>
      </c>
      <c r="B103" s="1" t="s">
        <v>144</v>
      </c>
      <c r="C103" s="1">
        <v>341001</v>
      </c>
      <c r="D103" s="1" t="s">
        <v>27</v>
      </c>
      <c r="E103" s="1">
        <v>0.85</v>
      </c>
      <c r="F103" s="1">
        <v>3.3</v>
      </c>
      <c r="G103" s="11">
        <v>31.939866500000001</v>
      </c>
      <c r="H103" s="19">
        <v>-113.5695369</v>
      </c>
      <c r="I103" s="1" t="s">
        <v>45</v>
      </c>
      <c r="J103" s="1" t="s">
        <v>29</v>
      </c>
      <c r="K103" s="30">
        <v>1070</v>
      </c>
      <c r="L103" s="1">
        <v>964</v>
      </c>
      <c r="M103" s="1">
        <f t="shared" si="12"/>
        <v>1017</v>
      </c>
      <c r="N103" s="4">
        <f t="shared" si="7"/>
        <v>0.90093457943925237</v>
      </c>
      <c r="O103" s="4">
        <f t="shared" si="10"/>
        <v>0.94528221942954693</v>
      </c>
      <c r="P103" s="4">
        <f t="shared" si="9"/>
        <v>0.98084619120342509</v>
      </c>
      <c r="Q103" s="14" t="s">
        <v>47</v>
      </c>
      <c r="R103" s="14" t="s">
        <v>48</v>
      </c>
      <c r="S103" s="14" t="s">
        <v>57</v>
      </c>
      <c r="U103" s="1" t="s">
        <v>142</v>
      </c>
      <c r="V103" s="1" t="s">
        <v>59</v>
      </c>
      <c r="W103" s="1">
        <v>390</v>
      </c>
      <c r="X103" s="1">
        <v>200</v>
      </c>
      <c r="Y103" s="4">
        <f>X103/K103</f>
        <v>0.18691588785046728</v>
      </c>
      <c r="Z103" s="1" t="s">
        <v>60</v>
      </c>
      <c r="AA103" s="1" t="s">
        <v>1124</v>
      </c>
      <c r="AB103" s="1" t="s">
        <v>65</v>
      </c>
      <c r="AC103" s="15">
        <v>92</v>
      </c>
      <c r="AD103" s="15">
        <v>62753</v>
      </c>
      <c r="AE103" s="18" t="s">
        <v>61</v>
      </c>
    </row>
    <row r="104" spans="1:32">
      <c r="A104" s="1" t="s">
        <v>245</v>
      </c>
      <c r="C104" s="1">
        <v>341001</v>
      </c>
      <c r="D104" s="1" t="s">
        <v>27</v>
      </c>
      <c r="E104" s="1">
        <v>0.69</v>
      </c>
      <c r="F104" s="1">
        <v>3</v>
      </c>
      <c r="G104" s="11">
        <v>31.9168615</v>
      </c>
      <c r="H104" s="19">
        <v>-113.30079499999999</v>
      </c>
      <c r="I104" s="1" t="s">
        <v>45</v>
      </c>
      <c r="J104" s="1" t="s">
        <v>29</v>
      </c>
      <c r="K104" s="30">
        <v>1051</v>
      </c>
      <c r="L104" s="1">
        <v>873</v>
      </c>
      <c r="M104" s="1">
        <f t="shared" si="12"/>
        <v>962</v>
      </c>
      <c r="N104" s="4">
        <f t="shared" si="7"/>
        <v>0.83063748810656513</v>
      </c>
      <c r="O104" s="4">
        <f t="shared" si="10"/>
        <v>0.79534174409335345</v>
      </c>
      <c r="P104" s="4">
        <f t="shared" si="9"/>
        <v>0.96342174710086981</v>
      </c>
      <c r="Q104" s="14" t="s">
        <v>47</v>
      </c>
      <c r="R104" s="14" t="s">
        <v>48</v>
      </c>
      <c r="S104" s="14" t="s">
        <v>57</v>
      </c>
      <c r="U104" s="1" t="s">
        <v>246</v>
      </c>
      <c r="V104" s="1" t="s">
        <v>59</v>
      </c>
      <c r="W104" s="1">
        <v>200</v>
      </c>
      <c r="Y104" s="4"/>
      <c r="Z104" s="1" t="s">
        <v>60</v>
      </c>
      <c r="AA104" s="1" t="s">
        <v>1124</v>
      </c>
      <c r="AB104" s="1" t="s">
        <v>65</v>
      </c>
      <c r="AC104" s="15">
        <v>92</v>
      </c>
      <c r="AD104" s="15">
        <v>62753</v>
      </c>
      <c r="AE104" s="18" t="s">
        <v>61</v>
      </c>
    </row>
    <row r="105" spans="1:32">
      <c r="A105" s="40" t="s">
        <v>586</v>
      </c>
      <c r="B105" s="9"/>
      <c r="C105" s="9">
        <v>327810</v>
      </c>
      <c r="D105" s="1" t="s">
        <v>27</v>
      </c>
      <c r="E105" s="1">
        <v>0.57999999999999996</v>
      </c>
      <c r="F105" s="1">
        <v>2.72</v>
      </c>
      <c r="G105" s="11">
        <v>31.9090311</v>
      </c>
      <c r="H105" s="21">
        <v>-107.1868917</v>
      </c>
      <c r="I105" s="1" t="s">
        <v>28</v>
      </c>
      <c r="J105" s="1" t="s">
        <v>29</v>
      </c>
      <c r="K105" s="1">
        <v>964</v>
      </c>
      <c r="L105" s="1">
        <v>807</v>
      </c>
      <c r="M105" s="1">
        <f t="shared" si="12"/>
        <v>885.5</v>
      </c>
      <c r="N105" s="4">
        <f t="shared" si="7"/>
        <v>0.83713692946058094</v>
      </c>
      <c r="O105" s="4">
        <f t="shared" si="10"/>
        <v>0.79466492478865125</v>
      </c>
      <c r="P105" s="4">
        <f t="shared" si="9"/>
        <v>0.98514475512655664</v>
      </c>
      <c r="Q105" s="14" t="s">
        <v>47</v>
      </c>
      <c r="R105" s="14" t="s">
        <v>31</v>
      </c>
      <c r="S105" s="14" t="s">
        <v>988</v>
      </c>
      <c r="V105" s="1" t="s">
        <v>89</v>
      </c>
      <c r="W105" s="1">
        <v>1400</v>
      </c>
      <c r="X105" s="1">
        <v>40</v>
      </c>
      <c r="Y105" s="4">
        <f>X105/K105</f>
        <v>4.1493775933609957E-2</v>
      </c>
      <c r="Z105" s="1" t="s">
        <v>990</v>
      </c>
      <c r="AB105" s="1" t="s">
        <v>65</v>
      </c>
      <c r="AC105" s="15" t="s">
        <v>36</v>
      </c>
      <c r="AD105" s="15" t="s">
        <v>36</v>
      </c>
      <c r="AE105" s="18" t="s">
        <v>989</v>
      </c>
      <c r="AF105" s="1" t="s">
        <v>1186</v>
      </c>
    </row>
    <row r="106" spans="1:32">
      <c r="A106" s="24" t="s">
        <v>137</v>
      </c>
      <c r="C106" s="1">
        <v>341001</v>
      </c>
      <c r="D106" s="1" t="s">
        <v>138</v>
      </c>
      <c r="E106" s="1">
        <v>1.93</v>
      </c>
      <c r="F106" s="1">
        <v>5.0999999999999996</v>
      </c>
      <c r="G106" s="11">
        <v>31.8459188</v>
      </c>
      <c r="H106" s="19">
        <v>-113.3920476</v>
      </c>
      <c r="I106" s="1" t="s">
        <v>101</v>
      </c>
      <c r="J106" s="1" t="s">
        <v>29</v>
      </c>
      <c r="K106" s="1">
        <v>1632</v>
      </c>
      <c r="L106" s="1">
        <v>1577</v>
      </c>
      <c r="M106" s="1">
        <f t="shared" si="12"/>
        <v>1604.5</v>
      </c>
      <c r="N106" s="4">
        <f t="shared" si="7"/>
        <v>0.96629901960784315</v>
      </c>
      <c r="O106" s="4">
        <f t="shared" si="10"/>
        <v>0.92262903741156665</v>
      </c>
      <c r="P106" s="4">
        <f t="shared" si="9"/>
        <v>0.93245272148070757</v>
      </c>
      <c r="Q106" s="14" t="s">
        <v>47</v>
      </c>
      <c r="R106" s="14" t="s">
        <v>48</v>
      </c>
      <c r="S106" s="14" t="s">
        <v>57</v>
      </c>
      <c r="U106" s="1" t="s">
        <v>139</v>
      </c>
      <c r="V106" s="1" t="s">
        <v>51</v>
      </c>
      <c r="W106" s="1">
        <v>320</v>
      </c>
      <c r="X106" s="1">
        <v>244</v>
      </c>
      <c r="Y106" s="4">
        <f>X106/K106</f>
        <v>0.14950980392156862</v>
      </c>
      <c r="Z106" s="1">
        <v>150000</v>
      </c>
      <c r="AB106" s="1" t="s">
        <v>65</v>
      </c>
      <c r="AC106" s="15">
        <v>92</v>
      </c>
      <c r="AD106" s="15">
        <v>62753</v>
      </c>
      <c r="AE106" s="18" t="s">
        <v>61</v>
      </c>
    </row>
    <row r="107" spans="1:32" ht="15" customHeight="1">
      <c r="A107" s="24" t="s">
        <v>328</v>
      </c>
      <c r="C107" s="1">
        <v>282081</v>
      </c>
      <c r="D107" s="9" t="s">
        <v>27</v>
      </c>
      <c r="E107" s="10">
        <v>0.89</v>
      </c>
      <c r="F107" s="10">
        <v>3.62</v>
      </c>
      <c r="G107" s="9">
        <v>31.775914799999999</v>
      </c>
      <c r="H107" s="9">
        <v>130.5648138</v>
      </c>
      <c r="I107" s="9" t="s">
        <v>248</v>
      </c>
      <c r="J107" s="1" t="s">
        <v>329</v>
      </c>
      <c r="K107" s="13">
        <v>1338</v>
      </c>
      <c r="L107" s="1">
        <v>1220</v>
      </c>
      <c r="M107" s="1">
        <f t="shared" si="12"/>
        <v>1279</v>
      </c>
      <c r="N107" s="4">
        <f t="shared" si="7"/>
        <v>0.91180866965620333</v>
      </c>
      <c r="O107" s="4">
        <f t="shared" si="10"/>
        <v>0.63297695443430879</v>
      </c>
      <c r="P107" s="4">
        <f t="shared" si="9"/>
        <v>0.85345913180150668</v>
      </c>
      <c r="Q107" s="14" t="s">
        <v>30</v>
      </c>
      <c r="R107" s="14" t="s">
        <v>31</v>
      </c>
      <c r="S107" s="14" t="s">
        <v>330</v>
      </c>
      <c r="V107" s="1" t="s">
        <v>34</v>
      </c>
      <c r="W107" s="1">
        <v>50</v>
      </c>
      <c r="Y107" s="4"/>
      <c r="Z107" s="1" t="s">
        <v>331</v>
      </c>
      <c r="AA107" s="1" t="s">
        <v>53</v>
      </c>
      <c r="AB107" s="1" t="s">
        <v>65</v>
      </c>
      <c r="AC107" s="15">
        <v>18080</v>
      </c>
      <c r="AD107" s="15">
        <v>2959509</v>
      </c>
      <c r="AE107" s="18" t="s">
        <v>332</v>
      </c>
      <c r="AF107" s="1" t="s">
        <v>1186</v>
      </c>
    </row>
    <row r="108" spans="1:32" ht="15" customHeight="1">
      <c r="A108" s="9" t="s">
        <v>344</v>
      </c>
      <c r="B108" s="9"/>
      <c r="C108" s="9">
        <v>282081</v>
      </c>
      <c r="D108" s="9" t="s">
        <v>27</v>
      </c>
      <c r="E108" s="10">
        <v>0.17</v>
      </c>
      <c r="F108" s="10">
        <v>1.61</v>
      </c>
      <c r="G108" s="11">
        <v>31.771549499999999</v>
      </c>
      <c r="H108" s="19">
        <v>130.59177769999999</v>
      </c>
      <c r="I108" s="9" t="s">
        <v>248</v>
      </c>
      <c r="J108" s="1" t="s">
        <v>187</v>
      </c>
      <c r="K108" s="1">
        <v>494</v>
      </c>
      <c r="L108" s="1">
        <v>470</v>
      </c>
      <c r="M108" s="1">
        <f t="shared" si="12"/>
        <v>482</v>
      </c>
      <c r="N108" s="4">
        <f t="shared" si="7"/>
        <v>0.95141700404858298</v>
      </c>
      <c r="O108" s="4">
        <f t="shared" si="10"/>
        <v>0.88696226214565743</v>
      </c>
      <c r="P108" s="4">
        <f t="shared" si="9"/>
        <v>0.82415146191931599</v>
      </c>
      <c r="Q108" s="14" t="s">
        <v>30</v>
      </c>
      <c r="R108" s="14" t="s">
        <v>31</v>
      </c>
      <c r="S108" s="14" t="s">
        <v>345</v>
      </c>
      <c r="V108" s="1" t="s">
        <v>346</v>
      </c>
      <c r="W108" s="1">
        <v>100</v>
      </c>
      <c r="Z108" s="1" t="s">
        <v>347</v>
      </c>
      <c r="AA108" s="1" t="s">
        <v>53</v>
      </c>
      <c r="AB108" s="1" t="s">
        <v>65</v>
      </c>
      <c r="AC108" s="15">
        <v>18080</v>
      </c>
      <c r="AD108" s="15">
        <v>2959509</v>
      </c>
      <c r="AE108" s="18" t="s">
        <v>348</v>
      </c>
    </row>
    <row r="109" spans="1:32" ht="15" customHeight="1">
      <c r="A109" s="1" t="s">
        <v>55</v>
      </c>
      <c r="B109" s="1" t="s">
        <v>56</v>
      </c>
      <c r="C109" s="1">
        <v>341001</v>
      </c>
      <c r="D109" s="1" t="s">
        <v>27</v>
      </c>
      <c r="E109" s="1">
        <v>0.45</v>
      </c>
      <c r="F109" s="1">
        <v>2.4500000000000002</v>
      </c>
      <c r="G109" s="11">
        <v>31.756706099999999</v>
      </c>
      <c r="H109" s="19">
        <v>-113.68581469999999</v>
      </c>
      <c r="I109" s="1" t="s">
        <v>45</v>
      </c>
      <c r="J109" s="1" t="s">
        <v>29</v>
      </c>
      <c r="K109" s="30">
        <v>836</v>
      </c>
      <c r="L109" s="1">
        <v>693</v>
      </c>
      <c r="M109" s="1">
        <f t="shared" si="12"/>
        <v>764.5</v>
      </c>
      <c r="N109" s="4">
        <f t="shared" si="7"/>
        <v>0.82894736842105265</v>
      </c>
      <c r="O109" s="4">
        <f t="shared" si="10"/>
        <v>0.81980408405660254</v>
      </c>
      <c r="P109" s="4">
        <f t="shared" si="9"/>
        <v>0.94208526055170794</v>
      </c>
      <c r="Q109" s="14" t="s">
        <v>47</v>
      </c>
      <c r="R109" s="14" t="s">
        <v>48</v>
      </c>
      <c r="S109" s="14" t="s">
        <v>57</v>
      </c>
      <c r="U109" s="1" t="s">
        <v>58</v>
      </c>
      <c r="V109" s="1" t="s">
        <v>59</v>
      </c>
      <c r="W109" s="1">
        <v>100</v>
      </c>
      <c r="X109" s="1">
        <v>40</v>
      </c>
      <c r="Y109" s="4">
        <f>X109/K109</f>
        <v>4.784688995215311E-2</v>
      </c>
      <c r="Z109" s="1" t="s">
        <v>60</v>
      </c>
      <c r="AA109" s="1" t="s">
        <v>1123</v>
      </c>
      <c r="AB109" s="1" t="s">
        <v>65</v>
      </c>
      <c r="AC109" s="15">
        <v>92</v>
      </c>
      <c r="AD109" s="15">
        <v>62753</v>
      </c>
      <c r="AE109" s="18" t="s">
        <v>61</v>
      </c>
    </row>
    <row r="110" spans="1:32" ht="15" customHeight="1">
      <c r="A110" s="20" t="s">
        <v>579</v>
      </c>
      <c r="B110" s="20" t="s">
        <v>580</v>
      </c>
      <c r="C110" s="20">
        <v>329804</v>
      </c>
      <c r="D110" s="1" t="s">
        <v>27</v>
      </c>
      <c r="E110" s="1">
        <v>3.56</v>
      </c>
      <c r="F110" s="1">
        <v>6.94</v>
      </c>
      <c r="G110" s="11">
        <v>31.554620700000001</v>
      </c>
      <c r="H110" s="19">
        <v>-109.1624405</v>
      </c>
      <c r="I110" s="1" t="s">
        <v>28</v>
      </c>
      <c r="J110" s="1" t="s">
        <v>29</v>
      </c>
      <c r="K110" s="1">
        <v>2387</v>
      </c>
      <c r="L110" s="1">
        <v>1838</v>
      </c>
      <c r="M110" s="1">
        <f t="shared" si="12"/>
        <v>2112.5</v>
      </c>
      <c r="N110" s="4">
        <f t="shared" si="7"/>
        <v>0.77000418935902804</v>
      </c>
      <c r="O110" s="4">
        <f t="shared" si="10"/>
        <v>0.79552764937595377</v>
      </c>
      <c r="P110" s="4">
        <f t="shared" si="9"/>
        <v>0.92884002414932942</v>
      </c>
      <c r="Q110" s="1" t="s">
        <v>47</v>
      </c>
      <c r="R110" s="1" t="s">
        <v>31</v>
      </c>
      <c r="S110" s="1" t="s">
        <v>580</v>
      </c>
      <c r="V110" s="1" t="s">
        <v>51</v>
      </c>
      <c r="W110" s="1">
        <v>1300</v>
      </c>
      <c r="X110" s="1">
        <v>123</v>
      </c>
      <c r="Y110" s="4">
        <f>X110/K110</f>
        <v>5.1529116045245078E-2</v>
      </c>
      <c r="Z110" s="1" t="s">
        <v>581</v>
      </c>
      <c r="AA110" s="1" t="s">
        <v>582</v>
      </c>
      <c r="AB110" s="1" t="s">
        <v>65</v>
      </c>
      <c r="AC110" s="15" t="s">
        <v>36</v>
      </c>
      <c r="AD110" s="15" t="s">
        <v>36</v>
      </c>
      <c r="AE110" s="18" t="s">
        <v>583</v>
      </c>
    </row>
    <row r="111" spans="1:32" ht="15" customHeight="1">
      <c r="A111" s="1" t="s">
        <v>666</v>
      </c>
      <c r="B111" s="1" t="s">
        <v>667</v>
      </c>
      <c r="C111" s="1">
        <v>282070</v>
      </c>
      <c r="D111" s="9" t="s">
        <v>27</v>
      </c>
      <c r="E111" s="10">
        <v>1.79</v>
      </c>
      <c r="F111" s="10">
        <v>4.9000000000000004</v>
      </c>
      <c r="G111" s="9">
        <v>31.223744400000001</v>
      </c>
      <c r="H111" s="9">
        <v>130.60562719999999</v>
      </c>
      <c r="I111" s="9" t="s">
        <v>248</v>
      </c>
      <c r="J111" s="1" t="s">
        <v>187</v>
      </c>
      <c r="K111" s="13">
        <v>1540</v>
      </c>
      <c r="L111" s="1">
        <v>1300</v>
      </c>
      <c r="M111" s="1">
        <f t="shared" si="12"/>
        <v>1420</v>
      </c>
      <c r="N111" s="4">
        <f t="shared" si="7"/>
        <v>0.8441558441558441</v>
      </c>
      <c r="O111" s="4">
        <f t="shared" si="10"/>
        <v>0.960996283132038</v>
      </c>
      <c r="P111" s="4">
        <f t="shared" si="9"/>
        <v>0.93685145354864285</v>
      </c>
      <c r="Q111" s="14" t="s">
        <v>30</v>
      </c>
      <c r="R111" s="14" t="s">
        <v>31</v>
      </c>
      <c r="S111" s="14" t="s">
        <v>668</v>
      </c>
      <c r="V111" s="1" t="s">
        <v>34</v>
      </c>
      <c r="Y111" s="4"/>
      <c r="Z111" s="1" t="s">
        <v>669</v>
      </c>
      <c r="AB111" s="1" t="s">
        <v>65</v>
      </c>
      <c r="AC111" s="15">
        <v>93134</v>
      </c>
      <c r="AD111" s="15">
        <v>1891380</v>
      </c>
      <c r="AE111" s="18" t="s">
        <v>43</v>
      </c>
    </row>
    <row r="112" spans="1:32" ht="14.25" customHeight="1">
      <c r="A112" s="1" t="s">
        <v>115</v>
      </c>
      <c r="C112" s="1">
        <v>232020</v>
      </c>
      <c r="D112" s="1" t="s">
        <v>27</v>
      </c>
      <c r="E112" s="1">
        <v>1.34</v>
      </c>
      <c r="F112" s="1">
        <v>4.17</v>
      </c>
      <c r="G112" s="11">
        <v>29.390321799999999</v>
      </c>
      <c r="H112" s="19">
        <v>57.563301199999998</v>
      </c>
      <c r="I112" s="1" t="s">
        <v>107</v>
      </c>
      <c r="J112" s="1" t="s">
        <v>29</v>
      </c>
      <c r="K112" s="1">
        <v>1334</v>
      </c>
      <c r="L112" s="1">
        <v>1332</v>
      </c>
      <c r="M112" s="1">
        <f t="shared" si="12"/>
        <v>1333</v>
      </c>
      <c r="N112" s="4">
        <f t="shared" si="7"/>
        <v>0.99850074962518742</v>
      </c>
      <c r="O112" s="4">
        <f t="shared" si="10"/>
        <v>0.95874532183596239</v>
      </c>
      <c r="P112" s="4">
        <f t="shared" si="9"/>
        <v>0.96837273336676222</v>
      </c>
      <c r="Q112" s="1" t="s">
        <v>47</v>
      </c>
      <c r="R112" s="14" t="s">
        <v>48</v>
      </c>
      <c r="S112" s="1" t="s">
        <v>108</v>
      </c>
      <c r="U112" s="1" t="s">
        <v>109</v>
      </c>
      <c r="V112" s="1" t="s">
        <v>51</v>
      </c>
      <c r="W112" s="1">
        <v>1700</v>
      </c>
      <c r="X112" s="1">
        <v>300</v>
      </c>
      <c r="Y112" s="4">
        <f>X112/K112</f>
        <v>0.22488755622188905</v>
      </c>
      <c r="Z112" s="1" t="s">
        <v>110</v>
      </c>
      <c r="AA112" s="1" t="s">
        <v>111</v>
      </c>
      <c r="AB112" s="1" t="s">
        <v>65</v>
      </c>
      <c r="AC112" s="15">
        <v>5159</v>
      </c>
      <c r="AD112" s="15">
        <v>511150</v>
      </c>
      <c r="AE112" s="18" t="s">
        <v>112</v>
      </c>
    </row>
    <row r="113" spans="1:32">
      <c r="A113" s="20" t="s">
        <v>114</v>
      </c>
      <c r="B113" s="20"/>
      <c r="C113" s="1">
        <v>232020</v>
      </c>
      <c r="D113" s="1" t="s">
        <v>27</v>
      </c>
      <c r="E113" s="1">
        <v>0.59</v>
      </c>
      <c r="F113" s="1">
        <v>2.79</v>
      </c>
      <c r="G113" s="11">
        <v>29.360054399999999</v>
      </c>
      <c r="H113" s="19">
        <v>57.550683999999997</v>
      </c>
      <c r="I113" s="1" t="s">
        <v>107</v>
      </c>
      <c r="J113" s="1" t="s">
        <v>29</v>
      </c>
      <c r="K113" s="1">
        <v>940</v>
      </c>
      <c r="L113" s="1">
        <v>802</v>
      </c>
      <c r="M113" s="1">
        <f t="shared" si="12"/>
        <v>871</v>
      </c>
      <c r="N113" s="4">
        <f t="shared" si="7"/>
        <v>0.85319148936170208</v>
      </c>
      <c r="O113" s="4">
        <f t="shared" si="10"/>
        <v>0.85017126685575606</v>
      </c>
      <c r="P113" s="4">
        <f t="shared" si="9"/>
        <v>0.95247474498939011</v>
      </c>
      <c r="Q113" s="1" t="s">
        <v>47</v>
      </c>
      <c r="R113" s="14" t="s">
        <v>48</v>
      </c>
      <c r="S113" s="1" t="s">
        <v>108</v>
      </c>
      <c r="U113" s="1" t="s">
        <v>109</v>
      </c>
      <c r="V113" s="1" t="s">
        <v>51</v>
      </c>
      <c r="W113" s="1">
        <v>1700</v>
      </c>
      <c r="Z113" s="1" t="s">
        <v>110</v>
      </c>
      <c r="AA113" s="1" t="s">
        <v>111</v>
      </c>
      <c r="AB113" s="1" t="s">
        <v>65</v>
      </c>
      <c r="AC113" s="15">
        <v>5159</v>
      </c>
      <c r="AD113" s="15">
        <v>511150</v>
      </c>
      <c r="AE113" s="18" t="s">
        <v>112</v>
      </c>
    </row>
    <row r="114" spans="1:32">
      <c r="A114" s="20" t="s">
        <v>106</v>
      </c>
      <c r="B114" s="20"/>
      <c r="C114" s="1">
        <v>232020</v>
      </c>
      <c r="D114" s="1" t="s">
        <v>27</v>
      </c>
      <c r="E114" s="1">
        <v>0.15</v>
      </c>
      <c r="F114" s="1">
        <v>1.5</v>
      </c>
      <c r="G114" s="11">
        <v>29.3561196</v>
      </c>
      <c r="H114" s="19">
        <v>57.540748999999998</v>
      </c>
      <c r="I114" s="1" t="s">
        <v>107</v>
      </c>
      <c r="J114" s="1" t="s">
        <v>29</v>
      </c>
      <c r="K114" s="1">
        <v>542</v>
      </c>
      <c r="L114" s="1">
        <v>333</v>
      </c>
      <c r="M114" s="1">
        <f t="shared" si="12"/>
        <v>437.5</v>
      </c>
      <c r="N114" s="4">
        <f t="shared" si="7"/>
        <v>0.61439114391143912</v>
      </c>
      <c r="O114" s="4">
        <f t="shared" si="10"/>
        <v>0.65013388880282941</v>
      </c>
      <c r="P114" s="4">
        <f t="shared" si="9"/>
        <v>0.83775804095727813</v>
      </c>
      <c r="Q114" s="1" t="s">
        <v>47</v>
      </c>
      <c r="R114" s="14" t="s">
        <v>48</v>
      </c>
      <c r="S114" s="1" t="s">
        <v>108</v>
      </c>
      <c r="U114" s="1" t="s">
        <v>109</v>
      </c>
      <c r="V114" s="1" t="s">
        <v>51</v>
      </c>
      <c r="W114" s="1">
        <v>1700</v>
      </c>
      <c r="Z114" s="1" t="s">
        <v>110</v>
      </c>
      <c r="AA114" s="1" t="s">
        <v>111</v>
      </c>
      <c r="AB114" s="1" t="s">
        <v>65</v>
      </c>
      <c r="AC114" s="15">
        <v>5159</v>
      </c>
      <c r="AD114" s="15">
        <v>511150</v>
      </c>
      <c r="AE114" s="18" t="s">
        <v>112</v>
      </c>
    </row>
    <row r="115" spans="1:32">
      <c r="A115" s="20" t="s">
        <v>113</v>
      </c>
      <c r="B115" s="20"/>
      <c r="C115" s="1">
        <v>232020</v>
      </c>
      <c r="D115" s="1" t="s">
        <v>27</v>
      </c>
      <c r="E115" s="1">
        <v>0.21</v>
      </c>
      <c r="F115" s="1">
        <v>1.67</v>
      </c>
      <c r="G115" s="11">
        <v>29.354793600000001</v>
      </c>
      <c r="H115" s="19">
        <v>57.533136900000002</v>
      </c>
      <c r="I115" s="1" t="s">
        <v>107</v>
      </c>
      <c r="J115" s="1" t="s">
        <v>29</v>
      </c>
      <c r="K115" s="1">
        <v>581</v>
      </c>
      <c r="L115" s="1">
        <v>439</v>
      </c>
      <c r="M115" s="1">
        <f t="shared" si="12"/>
        <v>510</v>
      </c>
      <c r="N115" s="4">
        <f t="shared" si="7"/>
        <v>0.75559380378657492</v>
      </c>
      <c r="O115" s="4">
        <f t="shared" si="10"/>
        <v>0.7920947751499261</v>
      </c>
      <c r="P115" s="4">
        <f t="shared" si="9"/>
        <v>0.9462289178584482</v>
      </c>
      <c r="Q115" s="1" t="s">
        <v>47</v>
      </c>
      <c r="R115" s="14" t="s">
        <v>48</v>
      </c>
      <c r="S115" s="1" t="s">
        <v>108</v>
      </c>
      <c r="U115" s="1" t="s">
        <v>109</v>
      </c>
      <c r="V115" s="1" t="s">
        <v>51</v>
      </c>
      <c r="W115" s="1">
        <v>1700</v>
      </c>
      <c r="Z115" s="1" t="s">
        <v>110</v>
      </c>
      <c r="AA115" s="1" t="s">
        <v>111</v>
      </c>
      <c r="AB115" s="1" t="s">
        <v>65</v>
      </c>
      <c r="AC115" s="15">
        <v>5159</v>
      </c>
      <c r="AD115" s="15">
        <v>511150</v>
      </c>
      <c r="AE115" s="18" t="s">
        <v>112</v>
      </c>
    </row>
    <row r="116" spans="1:32">
      <c r="A116" s="1" t="s">
        <v>462</v>
      </c>
      <c r="C116" s="1">
        <v>383060</v>
      </c>
      <c r="D116" s="1" t="s">
        <v>27</v>
      </c>
      <c r="E116" s="1">
        <v>0.97</v>
      </c>
      <c r="F116" s="1">
        <v>3.51</v>
      </c>
      <c r="G116" s="11">
        <v>29.039266900000001</v>
      </c>
      <c r="H116" s="9">
        <v>-13.7295151</v>
      </c>
      <c r="I116" s="1" t="s">
        <v>463</v>
      </c>
      <c r="J116" s="1" t="s">
        <v>29</v>
      </c>
      <c r="K116" s="1">
        <v>1151</v>
      </c>
      <c r="L116" s="1">
        <v>1022</v>
      </c>
      <c r="M116" s="1">
        <f t="shared" si="12"/>
        <v>1086.5</v>
      </c>
      <c r="N116" s="4">
        <f t="shared" si="7"/>
        <v>0.88792354474370117</v>
      </c>
      <c r="O116" s="4">
        <f t="shared" si="10"/>
        <v>0.93224745331042758</v>
      </c>
      <c r="P116" s="4">
        <f t="shared" si="9"/>
        <v>0.98938965559763292</v>
      </c>
      <c r="Q116" s="1" t="s">
        <v>47</v>
      </c>
      <c r="R116" s="1" t="s">
        <v>65</v>
      </c>
      <c r="S116" s="1" t="s">
        <v>464</v>
      </c>
      <c r="V116" s="1" t="s">
        <v>208</v>
      </c>
      <c r="W116" s="1">
        <v>458</v>
      </c>
      <c r="X116" s="1">
        <v>191</v>
      </c>
      <c r="Y116" s="4">
        <f>X116/K116</f>
        <v>0.16594265855777585</v>
      </c>
      <c r="Z116" s="1" t="s">
        <v>227</v>
      </c>
      <c r="AA116" s="1" t="s">
        <v>465</v>
      </c>
      <c r="AB116" s="1" t="s">
        <v>65</v>
      </c>
      <c r="AC116" s="15">
        <v>19033</v>
      </c>
      <c r="AD116" s="15">
        <v>225373</v>
      </c>
      <c r="AE116" s="1" t="s">
        <v>466</v>
      </c>
    </row>
    <row r="117" spans="1:32">
      <c r="A117" s="1" t="s">
        <v>279</v>
      </c>
      <c r="C117" s="1">
        <v>341022</v>
      </c>
      <c r="D117" s="1" t="s">
        <v>27</v>
      </c>
      <c r="E117" s="1">
        <v>1.79</v>
      </c>
      <c r="F117" s="1">
        <v>5.38</v>
      </c>
      <c r="G117" s="11">
        <v>24.416501499999999</v>
      </c>
      <c r="H117" s="19">
        <v>-104.5358753</v>
      </c>
      <c r="I117" s="1" t="s">
        <v>45</v>
      </c>
      <c r="J117" s="1" t="s">
        <v>29</v>
      </c>
      <c r="K117" s="30">
        <v>1909.26</v>
      </c>
      <c r="L117" s="1">
        <v>1375</v>
      </c>
      <c r="M117" s="1">
        <f t="shared" si="12"/>
        <v>1642.13</v>
      </c>
      <c r="N117" s="4">
        <f t="shared" si="7"/>
        <v>0.72017430837078245</v>
      </c>
      <c r="O117" s="4">
        <f t="shared" si="10"/>
        <v>0.62522020097296394</v>
      </c>
      <c r="P117" s="4">
        <f t="shared" si="9"/>
        <v>0.77713835490467653</v>
      </c>
      <c r="Q117" s="14" t="s">
        <v>47</v>
      </c>
      <c r="R117" s="14" t="s">
        <v>65</v>
      </c>
      <c r="S117" s="14" t="s">
        <v>280</v>
      </c>
      <c r="T117" s="1" t="s">
        <v>48</v>
      </c>
      <c r="U117" s="1" t="s">
        <v>281</v>
      </c>
      <c r="V117" s="1" t="s">
        <v>59</v>
      </c>
      <c r="W117" s="1">
        <v>1995</v>
      </c>
      <c r="X117" s="1">
        <v>135</v>
      </c>
      <c r="Y117" s="4">
        <f>X117/K117</f>
        <v>7.0708023003676818E-2</v>
      </c>
      <c r="Z117" s="1" t="s">
        <v>110</v>
      </c>
      <c r="AA117" s="1" t="s">
        <v>90</v>
      </c>
      <c r="AB117" s="1" t="s">
        <v>48</v>
      </c>
      <c r="AD117" s="31">
        <v>797133</v>
      </c>
      <c r="AE117" s="1" t="s">
        <v>282</v>
      </c>
    </row>
    <row r="118" spans="1:32">
      <c r="A118" s="1" t="s">
        <v>584</v>
      </c>
      <c r="C118" s="1">
        <v>341808</v>
      </c>
      <c r="D118" s="1" t="s">
        <v>27</v>
      </c>
      <c r="E118" s="1">
        <v>0.38</v>
      </c>
      <c r="F118" s="1">
        <v>2.36</v>
      </c>
      <c r="G118" s="11">
        <v>22.950145299999999</v>
      </c>
      <c r="H118" s="19">
        <v>-100.22535689999999</v>
      </c>
      <c r="I118" s="1" t="s">
        <v>101</v>
      </c>
      <c r="J118" s="1" t="s">
        <v>29</v>
      </c>
      <c r="K118" s="1">
        <v>844</v>
      </c>
      <c r="L118" s="1">
        <v>700</v>
      </c>
      <c r="M118" s="1">
        <f t="shared" si="12"/>
        <v>772</v>
      </c>
      <c r="N118" s="4">
        <f t="shared" si="7"/>
        <v>0.82938388625592419</v>
      </c>
      <c r="O118" s="4">
        <f t="shared" si="10"/>
        <v>0.6792174296952026</v>
      </c>
      <c r="P118" s="4">
        <f t="shared" si="9"/>
        <v>0.8573723128153703</v>
      </c>
      <c r="Q118" s="14" t="s">
        <v>47</v>
      </c>
      <c r="R118" s="14" t="s">
        <v>65</v>
      </c>
      <c r="S118" s="1" t="s">
        <v>585</v>
      </c>
      <c r="V118" s="1" t="s">
        <v>89</v>
      </c>
      <c r="W118" s="1">
        <v>1400</v>
      </c>
      <c r="X118" s="1">
        <v>200</v>
      </c>
      <c r="Y118" s="4">
        <f>X118/K118</f>
        <v>0.23696682464454977</v>
      </c>
      <c r="AA118" s="1" t="s">
        <v>126</v>
      </c>
      <c r="AB118" s="1" t="s">
        <v>65</v>
      </c>
      <c r="AC118" s="15" t="s">
        <v>36</v>
      </c>
      <c r="AD118" s="15" t="s">
        <v>36</v>
      </c>
      <c r="AE118" s="1" t="s">
        <v>91</v>
      </c>
    </row>
    <row r="119" spans="1:32" ht="15" customHeight="1">
      <c r="A119" s="1" t="s">
        <v>266</v>
      </c>
      <c r="C119" s="1">
        <v>231071</v>
      </c>
      <c r="D119" s="1" t="s">
        <v>27</v>
      </c>
      <c r="E119" s="1">
        <v>4.2</v>
      </c>
      <c r="F119" s="1">
        <v>7.75</v>
      </c>
      <c r="G119" s="32">
        <v>22.901910300000001</v>
      </c>
      <c r="H119" s="23">
        <v>41.140797900000003</v>
      </c>
      <c r="I119" s="1" t="s">
        <v>267</v>
      </c>
      <c r="J119" s="1" t="s">
        <v>29</v>
      </c>
      <c r="K119" s="1">
        <v>2540</v>
      </c>
      <c r="L119" s="1">
        <v>2200</v>
      </c>
      <c r="M119" s="1">
        <f t="shared" si="12"/>
        <v>2370</v>
      </c>
      <c r="N119" s="4">
        <f t="shared" si="7"/>
        <v>0.86614173228346458</v>
      </c>
      <c r="O119" s="4">
        <f t="shared" si="10"/>
        <v>0.82888060138379382</v>
      </c>
      <c r="P119" s="4">
        <f t="shared" si="9"/>
        <v>0.87873059863156733</v>
      </c>
      <c r="Q119" s="1" t="s">
        <v>47</v>
      </c>
      <c r="R119" s="14" t="s">
        <v>31</v>
      </c>
      <c r="S119" s="14" t="s">
        <v>268</v>
      </c>
      <c r="U119" s="1" t="s">
        <v>269</v>
      </c>
      <c r="V119" s="1" t="s">
        <v>89</v>
      </c>
      <c r="W119" s="1">
        <v>1000</v>
      </c>
      <c r="X119" s="1">
        <v>250</v>
      </c>
      <c r="Y119" s="4">
        <f>100/K119</f>
        <v>3.937007874015748E-2</v>
      </c>
      <c r="AA119" s="1" t="s">
        <v>1122</v>
      </c>
      <c r="AB119" s="1" t="s">
        <v>65</v>
      </c>
      <c r="AC119" s="15">
        <v>8028</v>
      </c>
      <c r="AD119" s="15">
        <v>25048</v>
      </c>
      <c r="AE119" s="18" t="s">
        <v>270</v>
      </c>
    </row>
    <row r="120" spans="1:32" ht="14.25" customHeight="1">
      <c r="A120" s="1" t="s">
        <v>546</v>
      </c>
      <c r="B120" s="1" t="s">
        <v>547</v>
      </c>
      <c r="C120" s="1">
        <v>231071</v>
      </c>
      <c r="D120" s="1" t="s">
        <v>27</v>
      </c>
      <c r="E120" s="1">
        <v>0.89</v>
      </c>
      <c r="F120" s="1">
        <v>3.738</v>
      </c>
      <c r="G120" s="9">
        <v>22.803637999999999</v>
      </c>
      <c r="H120" s="9">
        <v>41.354078999999999</v>
      </c>
      <c r="I120" s="1" t="s">
        <v>267</v>
      </c>
      <c r="J120" s="1" t="s">
        <v>29</v>
      </c>
      <c r="K120" s="1">
        <v>1440</v>
      </c>
      <c r="L120" s="1">
        <v>700</v>
      </c>
      <c r="M120" s="1">
        <f t="shared" si="12"/>
        <v>1070</v>
      </c>
      <c r="N120" s="4">
        <f t="shared" si="7"/>
        <v>0.4861111111111111</v>
      </c>
      <c r="O120" s="4">
        <f t="shared" si="10"/>
        <v>0.54648109317819005</v>
      </c>
      <c r="P120" s="4">
        <f t="shared" si="9"/>
        <v>0.80042616463853677</v>
      </c>
      <c r="Q120" s="1" t="s">
        <v>47</v>
      </c>
      <c r="R120" s="14" t="s">
        <v>31</v>
      </c>
      <c r="S120" s="14" t="s">
        <v>268</v>
      </c>
      <c r="V120" s="1" t="s">
        <v>89</v>
      </c>
      <c r="W120" s="1">
        <v>1000</v>
      </c>
      <c r="AA120" s="1" t="s">
        <v>53</v>
      </c>
      <c r="AB120" s="1" t="s">
        <v>65</v>
      </c>
      <c r="AC120" s="15">
        <v>8028</v>
      </c>
      <c r="AD120" s="15">
        <v>25048</v>
      </c>
      <c r="AE120" s="18" t="s">
        <v>548</v>
      </c>
    </row>
    <row r="121" spans="1:32">
      <c r="A121" s="1" t="s">
        <v>553</v>
      </c>
      <c r="C121" s="1">
        <v>231071</v>
      </c>
      <c r="D121" s="1" t="s">
        <v>27</v>
      </c>
      <c r="E121" s="1">
        <v>1.1000000000000001</v>
      </c>
      <c r="F121" s="1">
        <v>3.94</v>
      </c>
      <c r="G121" s="9">
        <v>22.763732999999998</v>
      </c>
      <c r="H121" s="9">
        <v>41.356558</v>
      </c>
      <c r="I121" s="1" t="s">
        <v>267</v>
      </c>
      <c r="J121" s="1" t="s">
        <v>29</v>
      </c>
      <c r="K121" s="1">
        <v>1270</v>
      </c>
      <c r="L121" s="1">
        <v>1040</v>
      </c>
      <c r="M121" s="1">
        <f t="shared" si="12"/>
        <v>1155</v>
      </c>
      <c r="N121" s="4">
        <f t="shared" si="7"/>
        <v>0.81889763779527558</v>
      </c>
      <c r="O121" s="4">
        <f t="shared" ref="O121:O152" si="13">E121/(PI()*((K121/2000)^2))</f>
        <v>0.8683511062115935</v>
      </c>
      <c r="P121" s="4">
        <f t="shared" si="9"/>
        <v>0.89045116311906314</v>
      </c>
      <c r="Q121" s="1" t="s">
        <v>47</v>
      </c>
      <c r="R121" s="14" t="s">
        <v>31</v>
      </c>
      <c r="S121" s="14" t="s">
        <v>268</v>
      </c>
      <c r="V121" s="1" t="s">
        <v>89</v>
      </c>
      <c r="W121" s="1">
        <v>1000</v>
      </c>
      <c r="AA121" s="1" t="s">
        <v>53</v>
      </c>
      <c r="AB121" s="1" t="s">
        <v>65</v>
      </c>
      <c r="AC121" s="15" t="s">
        <v>36</v>
      </c>
      <c r="AD121" s="15" t="s">
        <v>36</v>
      </c>
      <c r="AE121" s="1" t="s">
        <v>554</v>
      </c>
    </row>
    <row r="122" spans="1:32">
      <c r="A122" s="24" t="s">
        <v>1188</v>
      </c>
      <c r="C122" s="1">
        <v>341809</v>
      </c>
      <c r="D122" s="1" t="s">
        <v>27</v>
      </c>
      <c r="E122" s="1">
        <v>1</v>
      </c>
      <c r="F122" s="1">
        <v>3.66</v>
      </c>
      <c r="G122" s="11">
        <v>22.417974999999998</v>
      </c>
      <c r="H122" s="19">
        <v>-100.7889333</v>
      </c>
      <c r="I122" s="1" t="s">
        <v>101</v>
      </c>
      <c r="J122" s="1" t="s">
        <v>29</v>
      </c>
      <c r="K122" s="1">
        <v>1320</v>
      </c>
      <c r="L122" s="1">
        <v>996</v>
      </c>
      <c r="M122" s="1">
        <f t="shared" si="12"/>
        <v>1158</v>
      </c>
      <c r="N122" s="4">
        <f t="shared" si="7"/>
        <v>0.75454545454545452</v>
      </c>
      <c r="O122" s="4">
        <f t="shared" si="13"/>
        <v>0.73073894899860103</v>
      </c>
      <c r="P122" s="4">
        <f t="shared" si="9"/>
        <v>0.9380968836303839</v>
      </c>
      <c r="Q122" s="14" t="s">
        <v>47</v>
      </c>
      <c r="R122" s="14" t="s">
        <v>31</v>
      </c>
      <c r="S122" s="1" t="s">
        <v>87</v>
      </c>
      <c r="U122" s="1" t="s">
        <v>102</v>
      </c>
      <c r="V122" s="1" t="s">
        <v>89</v>
      </c>
      <c r="W122" s="1">
        <v>1800</v>
      </c>
      <c r="X122" s="1" t="s">
        <v>103</v>
      </c>
      <c r="Y122" s="4">
        <f>300/K122</f>
        <v>0.22727272727272727</v>
      </c>
      <c r="Z122" s="1">
        <v>1100000</v>
      </c>
      <c r="AA122" s="1" t="s">
        <v>104</v>
      </c>
      <c r="AB122" s="1" t="s">
        <v>65</v>
      </c>
      <c r="AD122" s="15">
        <v>1000000</v>
      </c>
      <c r="AE122" s="1" t="s">
        <v>105</v>
      </c>
      <c r="AF122" s="1" t="s">
        <v>1187</v>
      </c>
    </row>
    <row r="123" spans="1:32" ht="14.25" customHeight="1">
      <c r="A123" s="33" t="s">
        <v>85</v>
      </c>
      <c r="B123" s="20"/>
      <c r="C123" s="1">
        <v>341809</v>
      </c>
      <c r="D123" s="1" t="s">
        <v>27</v>
      </c>
      <c r="E123" s="1">
        <v>0.82</v>
      </c>
      <c r="F123" s="1">
        <v>3.37</v>
      </c>
      <c r="G123" s="9">
        <v>22.3656118</v>
      </c>
      <c r="H123" s="9">
        <v>-100.779686</v>
      </c>
      <c r="I123" s="1" t="s">
        <v>45</v>
      </c>
      <c r="J123" s="1" t="s">
        <v>86</v>
      </c>
      <c r="K123" s="1">
        <v>1298</v>
      </c>
      <c r="L123" s="1">
        <v>824</v>
      </c>
      <c r="M123" s="1">
        <f t="shared" si="12"/>
        <v>1061</v>
      </c>
      <c r="N123" s="4">
        <f t="shared" si="7"/>
        <v>0.63482280431432969</v>
      </c>
      <c r="O123" s="4">
        <f t="shared" si="13"/>
        <v>0.61969014002983924</v>
      </c>
      <c r="P123" s="4">
        <f t="shared" si="9"/>
        <v>0.90732716707680106</v>
      </c>
      <c r="Q123" s="1" t="s">
        <v>47</v>
      </c>
      <c r="R123" s="1" t="s">
        <v>31</v>
      </c>
      <c r="S123" s="1" t="s">
        <v>87</v>
      </c>
      <c r="U123" s="1" t="s">
        <v>88</v>
      </c>
      <c r="V123" s="1" t="s">
        <v>89</v>
      </c>
      <c r="W123" s="1">
        <v>1900</v>
      </c>
      <c r="X123" s="1">
        <v>80</v>
      </c>
      <c r="Y123" s="4">
        <f>X123/K123</f>
        <v>6.1633281972265024E-2</v>
      </c>
      <c r="Z123" s="1">
        <v>450000</v>
      </c>
      <c r="AA123" s="1" t="s">
        <v>90</v>
      </c>
      <c r="AB123" s="1" t="s">
        <v>65</v>
      </c>
      <c r="AD123" s="15">
        <v>1000000</v>
      </c>
      <c r="AE123" s="18" t="s">
        <v>91</v>
      </c>
    </row>
    <row r="124" spans="1:32">
      <c r="A124" s="1" t="s">
        <v>261</v>
      </c>
      <c r="C124" s="1">
        <v>341809</v>
      </c>
      <c r="D124" s="1" t="s">
        <v>27</v>
      </c>
      <c r="E124" s="1">
        <v>8.3000000000000004E-2</v>
      </c>
      <c r="F124" s="1">
        <v>1.1000000000000001</v>
      </c>
      <c r="G124" s="9">
        <v>22.292907599999999</v>
      </c>
      <c r="H124" s="9">
        <v>-100.52934430000001</v>
      </c>
      <c r="I124" s="1" t="s">
        <v>45</v>
      </c>
      <c r="J124" s="1" t="s">
        <v>262</v>
      </c>
      <c r="K124" s="1">
        <v>373</v>
      </c>
      <c r="L124" s="1">
        <v>271</v>
      </c>
      <c r="M124" s="1">
        <f t="shared" si="12"/>
        <v>322</v>
      </c>
      <c r="N124" s="4">
        <f t="shared" si="7"/>
        <v>0.72654155495978556</v>
      </c>
      <c r="O124" s="4">
        <f t="shared" si="13"/>
        <v>0.75957479902118541</v>
      </c>
      <c r="P124" s="4">
        <f t="shared" si="9"/>
        <v>0.86199071156348039</v>
      </c>
      <c r="Q124" s="1" t="s">
        <v>47</v>
      </c>
      <c r="R124" s="1" t="s">
        <v>31</v>
      </c>
      <c r="S124" s="1" t="s">
        <v>87</v>
      </c>
      <c r="U124" s="1" t="s">
        <v>263</v>
      </c>
      <c r="V124" s="1" t="s">
        <v>89</v>
      </c>
      <c r="W124" s="1">
        <v>1800</v>
      </c>
      <c r="AA124" s="1" t="s">
        <v>90</v>
      </c>
      <c r="AB124" s="1" t="s">
        <v>65</v>
      </c>
      <c r="AD124" s="15">
        <v>1000000</v>
      </c>
      <c r="AE124" s="18" t="s">
        <v>264</v>
      </c>
    </row>
    <row r="125" spans="1:32">
      <c r="A125" s="1" t="s">
        <v>265</v>
      </c>
      <c r="C125" s="1">
        <v>341809</v>
      </c>
      <c r="D125" s="1" t="s">
        <v>27</v>
      </c>
      <c r="E125" s="1">
        <v>1.25</v>
      </c>
      <c r="F125" s="1">
        <v>4.2</v>
      </c>
      <c r="G125" s="9">
        <v>22.211125500000001</v>
      </c>
      <c r="H125" s="9">
        <v>-100.6286051</v>
      </c>
      <c r="I125" s="1" t="s">
        <v>45</v>
      </c>
      <c r="J125" s="1" t="s">
        <v>86</v>
      </c>
      <c r="K125" s="1">
        <v>1381</v>
      </c>
      <c r="L125" s="1">
        <v>1172</v>
      </c>
      <c r="M125" s="1">
        <f t="shared" si="12"/>
        <v>1276.5</v>
      </c>
      <c r="N125" s="4">
        <f t="shared" si="7"/>
        <v>0.84866039102099933</v>
      </c>
      <c r="O125" s="4">
        <f t="shared" si="13"/>
        <v>0.83451236204963997</v>
      </c>
      <c r="P125" s="4">
        <f t="shared" si="9"/>
        <v>0.89047410816037209</v>
      </c>
      <c r="Q125" s="1" t="s">
        <v>47</v>
      </c>
      <c r="R125" s="1" t="s">
        <v>31</v>
      </c>
      <c r="S125" s="1" t="s">
        <v>87</v>
      </c>
      <c r="U125" s="1" t="s">
        <v>263</v>
      </c>
      <c r="V125" s="1" t="s">
        <v>51</v>
      </c>
      <c r="W125" s="1">
        <v>1800</v>
      </c>
      <c r="X125" s="1">
        <v>60</v>
      </c>
      <c r="Y125" s="4"/>
      <c r="AA125" s="1" t="s">
        <v>90</v>
      </c>
      <c r="AB125" s="1" t="s">
        <v>65</v>
      </c>
      <c r="AD125" s="15">
        <v>1000000</v>
      </c>
      <c r="AE125" s="1" t="s">
        <v>264</v>
      </c>
    </row>
    <row r="126" spans="1:32">
      <c r="A126" s="1" t="s">
        <v>205</v>
      </c>
      <c r="D126" s="1" t="s">
        <v>27</v>
      </c>
      <c r="E126" s="1">
        <v>0.99</v>
      </c>
      <c r="F126" s="1">
        <v>3.61</v>
      </c>
      <c r="G126" s="9">
        <v>21.262200700000001</v>
      </c>
      <c r="H126" s="9">
        <v>-157.80594909999999</v>
      </c>
      <c r="I126" s="1" t="s">
        <v>28</v>
      </c>
      <c r="J126" s="1" t="s">
        <v>198</v>
      </c>
      <c r="K126" s="1">
        <v>1222</v>
      </c>
      <c r="L126" s="1">
        <v>1047</v>
      </c>
      <c r="M126" s="1">
        <f t="shared" si="12"/>
        <v>1134.5</v>
      </c>
      <c r="N126" s="4">
        <f t="shared" si="7"/>
        <v>0.85679214402618653</v>
      </c>
      <c r="O126" s="4">
        <f t="shared" si="13"/>
        <v>0.84411749492247368</v>
      </c>
      <c r="P126" s="4">
        <f t="shared" si="9"/>
        <v>0.95462027671791849</v>
      </c>
      <c r="Q126" s="1" t="s">
        <v>30</v>
      </c>
      <c r="R126" s="1" t="s">
        <v>65</v>
      </c>
      <c r="S126" s="1" t="s">
        <v>206</v>
      </c>
      <c r="U126" s="1" t="s">
        <v>207</v>
      </c>
      <c r="V126" s="1" t="s">
        <v>208</v>
      </c>
      <c r="W126" s="1">
        <v>100</v>
      </c>
      <c r="X126" s="1">
        <v>170</v>
      </c>
      <c r="Y126" s="4">
        <f>X126/K126</f>
        <v>0.13911620294599017</v>
      </c>
      <c r="Z126" s="1">
        <v>300000</v>
      </c>
      <c r="AB126" s="1" t="s">
        <v>65</v>
      </c>
      <c r="AC126" s="15" t="s">
        <v>36</v>
      </c>
      <c r="AD126" s="15" t="s">
        <v>36</v>
      </c>
      <c r="AE126" s="1" t="s">
        <v>209</v>
      </c>
    </row>
    <row r="127" spans="1:32">
      <c r="A127" s="9" t="s">
        <v>724</v>
      </c>
      <c r="B127" s="9" t="s">
        <v>210</v>
      </c>
      <c r="C127" s="9">
        <v>341060</v>
      </c>
      <c r="D127" s="9" t="s">
        <v>27</v>
      </c>
      <c r="E127" s="10">
        <v>2.56</v>
      </c>
      <c r="F127" s="10">
        <v>5.85</v>
      </c>
      <c r="G127" s="11">
        <v>20.4313857</v>
      </c>
      <c r="H127" s="19">
        <v>-101.24946009999999</v>
      </c>
      <c r="I127" s="9" t="s">
        <v>45</v>
      </c>
      <c r="J127" s="1" t="s">
        <v>187</v>
      </c>
      <c r="K127" s="1">
        <v>1990</v>
      </c>
      <c r="L127" s="1">
        <v>1650</v>
      </c>
      <c r="M127" s="1">
        <f t="shared" si="12"/>
        <v>1820</v>
      </c>
      <c r="N127" s="4">
        <f t="shared" si="7"/>
        <v>0.82914572864321612</v>
      </c>
      <c r="O127" s="4">
        <f t="shared" si="13"/>
        <v>0.82308356721345832</v>
      </c>
      <c r="P127" s="4">
        <f t="shared" si="9"/>
        <v>0.9400221717513183</v>
      </c>
      <c r="Q127" s="14" t="s">
        <v>47</v>
      </c>
      <c r="R127" s="14" t="s">
        <v>31</v>
      </c>
      <c r="S127" s="14" t="s">
        <v>211</v>
      </c>
      <c r="U127" s="1" t="s">
        <v>212</v>
      </c>
      <c r="W127" s="1">
        <v>1700</v>
      </c>
      <c r="AB127" s="1" t="s">
        <v>65</v>
      </c>
      <c r="AD127" s="15">
        <v>5783287</v>
      </c>
      <c r="AE127" s="18" t="s">
        <v>213</v>
      </c>
    </row>
    <row r="128" spans="1:32">
      <c r="A128" s="1" t="s">
        <v>670</v>
      </c>
      <c r="B128" s="1" t="s">
        <v>210</v>
      </c>
      <c r="C128" s="1">
        <v>341060</v>
      </c>
      <c r="D128" s="1" t="s">
        <v>27</v>
      </c>
      <c r="E128" s="1">
        <v>3.21</v>
      </c>
      <c r="F128" s="1">
        <v>6.46</v>
      </c>
      <c r="G128" s="34">
        <v>20.356446200000001</v>
      </c>
      <c r="H128" s="9">
        <v>-101.2143059</v>
      </c>
      <c r="I128" s="1" t="s">
        <v>45</v>
      </c>
      <c r="J128" s="1" t="s">
        <v>29</v>
      </c>
      <c r="K128" s="1">
        <v>2140</v>
      </c>
      <c r="L128" s="1">
        <v>1950</v>
      </c>
      <c r="M128" s="1">
        <f t="shared" si="12"/>
        <v>2045</v>
      </c>
      <c r="N128" s="4">
        <f t="shared" si="7"/>
        <v>0.91121495327102808</v>
      </c>
      <c r="O128" s="4">
        <f t="shared" si="13"/>
        <v>0.89245762481436641</v>
      </c>
      <c r="P128" s="4">
        <f t="shared" si="9"/>
        <v>0.96660683204317455</v>
      </c>
      <c r="Q128" s="1" t="s">
        <v>47</v>
      </c>
      <c r="R128" s="1" t="s">
        <v>31</v>
      </c>
      <c r="S128" s="1" t="s">
        <v>211</v>
      </c>
      <c r="V128" s="1" t="s">
        <v>671</v>
      </c>
      <c r="Z128" s="1" t="s">
        <v>672</v>
      </c>
      <c r="AA128" s="1" t="s">
        <v>53</v>
      </c>
      <c r="AB128" s="1" t="s">
        <v>65</v>
      </c>
      <c r="AD128" s="15">
        <v>5783287</v>
      </c>
      <c r="AE128" s="1" t="s">
        <v>673</v>
      </c>
    </row>
    <row r="129" spans="1:31">
      <c r="A129" s="1" t="s">
        <v>623</v>
      </c>
      <c r="C129" s="1">
        <v>341060</v>
      </c>
      <c r="D129" s="1" t="s">
        <v>27</v>
      </c>
      <c r="E129" s="35">
        <v>0.33</v>
      </c>
      <c r="F129" s="35">
        <v>2.06</v>
      </c>
      <c r="G129" s="16">
        <v>19.906879400000001</v>
      </c>
      <c r="H129" s="36">
        <v>-101.7682947</v>
      </c>
      <c r="I129" s="1" t="s">
        <v>45</v>
      </c>
      <c r="J129" s="1" t="s">
        <v>187</v>
      </c>
      <c r="K129" s="1">
        <v>705</v>
      </c>
      <c r="L129" s="1">
        <v>565</v>
      </c>
      <c r="M129" s="1">
        <f t="shared" si="12"/>
        <v>635</v>
      </c>
      <c r="N129" s="4">
        <f t="shared" si="7"/>
        <v>0.8014184397163121</v>
      </c>
      <c r="O129" s="4">
        <f t="shared" si="13"/>
        <v>0.84536803935939597</v>
      </c>
      <c r="P129" s="4">
        <f t="shared" si="9"/>
        <v>0.97721328653467032</v>
      </c>
      <c r="Q129" s="14" t="s">
        <v>47</v>
      </c>
      <c r="R129" s="14" t="s">
        <v>48</v>
      </c>
      <c r="S129" s="14" t="s">
        <v>621</v>
      </c>
      <c r="V129" s="1" t="s">
        <v>51</v>
      </c>
      <c r="W129" s="1">
        <v>2000</v>
      </c>
      <c r="X129" s="1">
        <v>149</v>
      </c>
      <c r="Y129" s="4">
        <f>X129/K129</f>
        <v>0.21134751773049645</v>
      </c>
      <c r="AB129" s="1" t="s">
        <v>65</v>
      </c>
      <c r="AD129" s="15">
        <v>5783287</v>
      </c>
      <c r="AE129" s="18" t="s">
        <v>213</v>
      </c>
    </row>
    <row r="130" spans="1:31" ht="14.25" customHeight="1">
      <c r="A130" s="9" t="s">
        <v>1056</v>
      </c>
      <c r="B130" s="9"/>
      <c r="C130" s="1">
        <v>341060</v>
      </c>
      <c r="D130" s="9" t="s">
        <v>27</v>
      </c>
      <c r="E130" s="10">
        <v>0.63</v>
      </c>
      <c r="F130" s="10">
        <v>2.9</v>
      </c>
      <c r="G130" s="11">
        <v>19.8073576</v>
      </c>
      <c r="H130" s="19">
        <v>-101.45437819999999</v>
      </c>
      <c r="I130" s="9" t="s">
        <v>45</v>
      </c>
      <c r="J130" s="9" t="s">
        <v>46</v>
      </c>
      <c r="K130" s="1">
        <v>975</v>
      </c>
      <c r="L130" s="1">
        <v>840</v>
      </c>
      <c r="M130" s="1">
        <f t="shared" ref="M130:M161" si="14">AVERAGE(K130:L130)</f>
        <v>907.5</v>
      </c>
      <c r="N130" s="4">
        <f t="shared" ref="N130:N193" si="15">L130/K130</f>
        <v>0.86153846153846159</v>
      </c>
      <c r="O130" s="4">
        <f t="shared" si="13"/>
        <v>0.84380372195466413</v>
      </c>
      <c r="P130" s="4">
        <f t="shared" ref="P130:P193" si="16">E130/(((F130/(2*PI()))^2)*PI())</f>
        <v>0.94135713282357658</v>
      </c>
      <c r="Q130" s="14" t="s">
        <v>47</v>
      </c>
      <c r="R130" s="14" t="s">
        <v>48</v>
      </c>
      <c r="S130" s="14" t="s">
        <v>621</v>
      </c>
      <c r="V130" s="1" t="s">
        <v>51</v>
      </c>
      <c r="W130" s="1">
        <v>2100</v>
      </c>
      <c r="X130" s="1">
        <v>149</v>
      </c>
      <c r="Y130" s="4">
        <f>X130/K130</f>
        <v>0.15282051282051282</v>
      </c>
      <c r="Z130" s="1">
        <v>21000</v>
      </c>
      <c r="AB130" s="1" t="s">
        <v>65</v>
      </c>
      <c r="AD130" s="15">
        <v>5783287</v>
      </c>
      <c r="AE130" s="18" t="s">
        <v>1057</v>
      </c>
    </row>
    <row r="131" spans="1:31">
      <c r="A131" s="1" t="s">
        <v>717</v>
      </c>
      <c r="C131" s="1">
        <v>341060</v>
      </c>
      <c r="D131" s="1" t="s">
        <v>27</v>
      </c>
      <c r="E131" s="35">
        <v>1.02</v>
      </c>
      <c r="F131" s="35">
        <v>3.61</v>
      </c>
      <c r="G131" s="16">
        <v>19.4488144</v>
      </c>
      <c r="H131" s="36">
        <v>-102.0646002</v>
      </c>
      <c r="I131" s="1" t="s">
        <v>45</v>
      </c>
      <c r="J131" s="1" t="s">
        <v>178</v>
      </c>
      <c r="K131" s="1">
        <v>1170</v>
      </c>
      <c r="L131" s="1">
        <v>1095</v>
      </c>
      <c r="M131" s="1">
        <f t="shared" si="14"/>
        <v>1132.5</v>
      </c>
      <c r="N131" s="4">
        <f t="shared" si="15"/>
        <v>0.9358974358974359</v>
      </c>
      <c r="O131" s="4">
        <f t="shared" si="13"/>
        <v>0.94872111595431818</v>
      </c>
      <c r="P131" s="4">
        <f t="shared" si="16"/>
        <v>0.98354816389118871</v>
      </c>
      <c r="Q131" s="14" t="s">
        <v>47</v>
      </c>
      <c r="R131" s="14" t="s">
        <v>48</v>
      </c>
      <c r="S131" s="14" t="s">
        <v>621</v>
      </c>
      <c r="V131" s="1" t="s">
        <v>51</v>
      </c>
      <c r="W131" s="1">
        <v>1900</v>
      </c>
      <c r="AB131" s="1" t="s">
        <v>65</v>
      </c>
      <c r="AD131" s="15">
        <v>5783287</v>
      </c>
      <c r="AE131" s="18" t="s">
        <v>622</v>
      </c>
    </row>
    <row r="132" spans="1:31">
      <c r="A132" s="9" t="s">
        <v>189</v>
      </c>
      <c r="B132" s="9"/>
      <c r="C132" s="1">
        <v>341092</v>
      </c>
      <c r="D132" s="9" t="s">
        <v>27</v>
      </c>
      <c r="E132" s="10">
        <v>3.5638000000000001</v>
      </c>
      <c r="F132" s="10">
        <v>6.8792</v>
      </c>
      <c r="G132" s="11">
        <v>19.4139707</v>
      </c>
      <c r="H132" s="19">
        <v>-97.4050352</v>
      </c>
      <c r="I132" s="9" t="s">
        <v>45</v>
      </c>
      <c r="J132" s="9" t="s">
        <v>46</v>
      </c>
      <c r="K132" s="1">
        <v>2290</v>
      </c>
      <c r="L132" s="1">
        <v>1860</v>
      </c>
      <c r="M132" s="1">
        <f t="shared" si="14"/>
        <v>2075</v>
      </c>
      <c r="N132" s="4">
        <f t="shared" si="15"/>
        <v>0.81222707423580787</v>
      </c>
      <c r="O132" s="4">
        <f t="shared" si="13"/>
        <v>0.86527165567536335</v>
      </c>
      <c r="P132" s="4">
        <f t="shared" si="16"/>
        <v>0.94634025789604137</v>
      </c>
      <c r="Q132" s="14" t="s">
        <v>47</v>
      </c>
      <c r="R132" s="14" t="s">
        <v>48</v>
      </c>
      <c r="S132" s="14" t="s">
        <v>49</v>
      </c>
      <c r="U132" s="1" t="s">
        <v>179</v>
      </c>
      <c r="V132" s="1" t="s">
        <v>51</v>
      </c>
      <c r="W132" s="1">
        <v>2400</v>
      </c>
      <c r="X132" s="1" t="s">
        <v>190</v>
      </c>
      <c r="Y132" s="4">
        <f>214.6/K132</f>
        <v>9.3711790393013097E-2</v>
      </c>
      <c r="AB132" s="1" t="s">
        <v>65</v>
      </c>
      <c r="AC132" s="15">
        <v>93158</v>
      </c>
      <c r="AD132" s="15">
        <v>7672879</v>
      </c>
      <c r="AE132" s="18" t="s">
        <v>185</v>
      </c>
    </row>
    <row r="133" spans="1:31">
      <c r="A133" s="20" t="s">
        <v>632</v>
      </c>
      <c r="B133" s="20"/>
      <c r="C133" s="20">
        <v>341092</v>
      </c>
      <c r="D133" s="1" t="s">
        <v>27</v>
      </c>
      <c r="E133" s="1">
        <v>3.96</v>
      </c>
      <c r="F133" s="1">
        <v>7.23</v>
      </c>
      <c r="G133" s="11">
        <v>19.390542</v>
      </c>
      <c r="H133" s="19">
        <v>-97.498236199999994</v>
      </c>
      <c r="I133" s="1" t="s">
        <v>101</v>
      </c>
      <c r="J133" s="1" t="s">
        <v>29</v>
      </c>
      <c r="K133" s="1">
        <v>2433</v>
      </c>
      <c r="L133" s="1">
        <v>2002</v>
      </c>
      <c r="M133" s="1">
        <f t="shared" si="14"/>
        <v>2217.5</v>
      </c>
      <c r="N133" s="4">
        <f t="shared" si="15"/>
        <v>0.82285244554048498</v>
      </c>
      <c r="O133" s="4">
        <f t="shared" si="13"/>
        <v>0.85176754229144525</v>
      </c>
      <c r="P133" s="4">
        <f t="shared" si="16"/>
        <v>0.95198138295105728</v>
      </c>
      <c r="Q133" s="14" t="s">
        <v>47</v>
      </c>
      <c r="R133" s="14" t="s">
        <v>48</v>
      </c>
      <c r="S133" s="1" t="s">
        <v>49</v>
      </c>
      <c r="V133" s="1" t="s">
        <v>51</v>
      </c>
      <c r="W133" s="1">
        <v>2500</v>
      </c>
      <c r="X133" s="1">
        <v>170</v>
      </c>
      <c r="Y133" s="4">
        <f>X133/K133</f>
        <v>6.987258528565557E-2</v>
      </c>
      <c r="AA133" s="1" t="s">
        <v>181</v>
      </c>
      <c r="AB133" s="1" t="s">
        <v>65</v>
      </c>
      <c r="AC133" s="15">
        <v>93158</v>
      </c>
      <c r="AD133" s="15">
        <v>7672879</v>
      </c>
      <c r="AE133" s="18" t="s">
        <v>633</v>
      </c>
    </row>
    <row r="134" spans="1:31">
      <c r="A134" s="22" t="s">
        <v>183</v>
      </c>
      <c r="B134" s="22"/>
      <c r="C134" s="1">
        <v>341092</v>
      </c>
      <c r="D134" s="9" t="s">
        <v>27</v>
      </c>
      <c r="E134" s="10">
        <v>0.82669999999999999</v>
      </c>
      <c r="F134" s="10">
        <v>3.5562999999999998</v>
      </c>
      <c r="G134" s="11">
        <v>19.3746039</v>
      </c>
      <c r="H134" s="19">
        <v>-97.354290599999999</v>
      </c>
      <c r="I134" s="9" t="s">
        <v>45</v>
      </c>
      <c r="J134" s="9" t="s">
        <v>46</v>
      </c>
      <c r="K134" s="1">
        <v>1210</v>
      </c>
      <c r="L134" s="1">
        <v>920</v>
      </c>
      <c r="M134" s="1">
        <f t="shared" si="14"/>
        <v>1065</v>
      </c>
      <c r="N134" s="4">
        <f t="shared" si="15"/>
        <v>0.76033057851239672</v>
      </c>
      <c r="O134" s="4">
        <f t="shared" si="13"/>
        <v>0.71893117384916272</v>
      </c>
      <c r="P134" s="4">
        <f t="shared" si="16"/>
        <v>0.82141196017230889</v>
      </c>
      <c r="Q134" s="14" t="s">
        <v>47</v>
      </c>
      <c r="R134" s="14" t="s">
        <v>48</v>
      </c>
      <c r="S134" s="14" t="s">
        <v>49</v>
      </c>
      <c r="U134" s="1" t="s">
        <v>179</v>
      </c>
      <c r="V134" s="1" t="s">
        <v>51</v>
      </c>
      <c r="W134" s="1">
        <v>2400</v>
      </c>
      <c r="X134" s="1" t="s">
        <v>184</v>
      </c>
      <c r="Y134" s="4">
        <f>80/K134</f>
        <v>6.6115702479338845E-2</v>
      </c>
      <c r="AB134" s="1" t="s">
        <v>65</v>
      </c>
      <c r="AC134" s="15">
        <v>93158</v>
      </c>
      <c r="AD134" s="15">
        <v>7672879</v>
      </c>
      <c r="AE134" s="18" t="s">
        <v>185</v>
      </c>
    </row>
    <row r="135" spans="1:31">
      <c r="A135" s="9" t="s">
        <v>186</v>
      </c>
      <c r="B135" s="9"/>
      <c r="C135" s="1">
        <v>341092</v>
      </c>
      <c r="D135" s="9" t="s">
        <v>27</v>
      </c>
      <c r="E135" s="10">
        <v>1.1957</v>
      </c>
      <c r="F135" s="10">
        <v>4.5069999999999997</v>
      </c>
      <c r="G135" s="11">
        <v>19.370623800000001</v>
      </c>
      <c r="H135" s="19">
        <v>-97.387163400000006</v>
      </c>
      <c r="I135" s="9" t="s">
        <v>45</v>
      </c>
      <c r="J135" s="1" t="s">
        <v>187</v>
      </c>
      <c r="K135" s="1">
        <v>1585</v>
      </c>
      <c r="L135" s="1">
        <v>1030</v>
      </c>
      <c r="M135" s="1">
        <f t="shared" si="14"/>
        <v>1307.5</v>
      </c>
      <c r="N135" s="4">
        <f t="shared" si="15"/>
        <v>0.64984227129337535</v>
      </c>
      <c r="O135" s="4">
        <f t="shared" si="13"/>
        <v>0.60600166133202005</v>
      </c>
      <c r="P135" s="4">
        <f t="shared" si="16"/>
        <v>0.73970231369939909</v>
      </c>
      <c r="Q135" s="14" t="s">
        <v>47</v>
      </c>
      <c r="R135" s="14" t="s">
        <v>48</v>
      </c>
      <c r="S135" s="14" t="s">
        <v>49</v>
      </c>
      <c r="U135" s="1" t="s">
        <v>179</v>
      </c>
      <c r="V135" s="1" t="s">
        <v>51</v>
      </c>
      <c r="W135" s="1">
        <v>2400</v>
      </c>
      <c r="X135" s="1" t="s">
        <v>188</v>
      </c>
      <c r="Y135" s="4">
        <f>85.5/K135</f>
        <v>5.3943217665615141E-2</v>
      </c>
      <c r="AB135" s="1" t="s">
        <v>65</v>
      </c>
      <c r="AC135" s="15">
        <v>93158</v>
      </c>
      <c r="AD135" s="15">
        <v>7672879</v>
      </c>
      <c r="AE135" s="18" t="s">
        <v>185</v>
      </c>
    </row>
    <row r="136" spans="1:31">
      <c r="A136" s="9" t="s">
        <v>630</v>
      </c>
      <c r="B136" s="9"/>
      <c r="C136" s="1">
        <v>341092</v>
      </c>
      <c r="D136" s="9" t="s">
        <v>27</v>
      </c>
      <c r="E136" s="10">
        <v>0.998</v>
      </c>
      <c r="F136" s="10">
        <v>3.8571</v>
      </c>
      <c r="G136" s="11">
        <v>19.334269800000001</v>
      </c>
      <c r="H136" s="19">
        <v>-97.451319799999993</v>
      </c>
      <c r="I136" s="1" t="s">
        <v>45</v>
      </c>
      <c r="J136" s="1" t="s">
        <v>187</v>
      </c>
      <c r="K136" s="1">
        <v>1260</v>
      </c>
      <c r="L136" s="1">
        <v>1000</v>
      </c>
      <c r="M136" s="1">
        <f t="shared" si="14"/>
        <v>1130</v>
      </c>
      <c r="N136" s="4">
        <f t="shared" si="15"/>
        <v>0.79365079365079361</v>
      </c>
      <c r="O136" s="4">
        <f t="shared" si="13"/>
        <v>0.80038615875893948</v>
      </c>
      <c r="P136" s="4">
        <f t="shared" si="16"/>
        <v>0.84298259537115083</v>
      </c>
      <c r="Q136" s="14" t="s">
        <v>47</v>
      </c>
      <c r="R136" s="14" t="s">
        <v>48</v>
      </c>
      <c r="S136" s="14" t="s">
        <v>49</v>
      </c>
      <c r="V136" s="1" t="s">
        <v>51</v>
      </c>
      <c r="W136" s="1">
        <v>2400</v>
      </c>
      <c r="X136" s="1">
        <f>140+39</f>
        <v>179</v>
      </c>
      <c r="Y136" s="4">
        <f>X136/K136</f>
        <v>0.14206349206349206</v>
      </c>
      <c r="AB136" s="1" t="s">
        <v>65</v>
      </c>
      <c r="AC136" s="15">
        <v>93158</v>
      </c>
      <c r="AD136" s="15">
        <v>7672879</v>
      </c>
      <c r="AE136" s="18" t="s">
        <v>631</v>
      </c>
    </row>
    <row r="137" spans="1:31">
      <c r="A137" s="9" t="s">
        <v>177</v>
      </c>
      <c r="B137" s="9"/>
      <c r="C137" s="1">
        <v>341092</v>
      </c>
      <c r="D137" s="9" t="s">
        <v>27</v>
      </c>
      <c r="E137" s="10">
        <v>0.79</v>
      </c>
      <c r="F137" s="10">
        <v>3.17</v>
      </c>
      <c r="G137" s="11">
        <v>19.2234701</v>
      </c>
      <c r="H137" s="19">
        <v>-97.429519499999998</v>
      </c>
      <c r="I137" s="9" t="s">
        <v>45</v>
      </c>
      <c r="J137" s="1" t="s">
        <v>178</v>
      </c>
      <c r="K137" s="1">
        <v>1030</v>
      </c>
      <c r="L137" s="1">
        <v>990</v>
      </c>
      <c r="M137" s="1">
        <f t="shared" si="14"/>
        <v>1010</v>
      </c>
      <c r="N137" s="4">
        <f t="shared" si="15"/>
        <v>0.96116504854368934</v>
      </c>
      <c r="O137" s="4">
        <f t="shared" si="13"/>
        <v>0.94811880510960378</v>
      </c>
      <c r="P137" s="4">
        <f t="shared" si="16"/>
        <v>0.98791238696213002</v>
      </c>
      <c r="Q137" s="14" t="s">
        <v>47</v>
      </c>
      <c r="R137" s="14" t="s">
        <v>48</v>
      </c>
      <c r="S137" s="14" t="s">
        <v>49</v>
      </c>
      <c r="U137" s="1" t="s">
        <v>179</v>
      </c>
      <c r="V137" s="1" t="s">
        <v>51</v>
      </c>
      <c r="W137" s="1">
        <v>2400</v>
      </c>
      <c r="X137" s="1">
        <v>50</v>
      </c>
      <c r="Z137" s="1" t="s">
        <v>180</v>
      </c>
      <c r="AA137" s="1" t="s">
        <v>181</v>
      </c>
      <c r="AB137" s="1" t="s">
        <v>65</v>
      </c>
      <c r="AC137" s="15">
        <v>93158</v>
      </c>
      <c r="AD137" s="15">
        <v>7672879</v>
      </c>
      <c r="AE137" s="18" t="s">
        <v>182</v>
      </c>
    </row>
    <row r="138" spans="1:31">
      <c r="A138" s="1" t="s">
        <v>191</v>
      </c>
      <c r="C138" s="1">
        <v>341092</v>
      </c>
      <c r="D138" s="1" t="s">
        <v>27</v>
      </c>
      <c r="E138" s="35">
        <v>1.26250523004019</v>
      </c>
      <c r="F138" s="35">
        <v>4.1562903275022025</v>
      </c>
      <c r="G138" s="16">
        <v>19.125733400000001</v>
      </c>
      <c r="H138" s="36">
        <v>-97.540454699999998</v>
      </c>
      <c r="I138" s="9" t="s">
        <v>45</v>
      </c>
      <c r="J138" s="9" t="s">
        <v>192</v>
      </c>
      <c r="K138" s="1">
        <v>1435</v>
      </c>
      <c r="L138" s="1">
        <v>1165</v>
      </c>
      <c r="M138" s="1">
        <f t="shared" si="14"/>
        <v>1300</v>
      </c>
      <c r="N138" s="4">
        <f t="shared" si="15"/>
        <v>0.81184668989547037</v>
      </c>
      <c r="O138" s="4">
        <f t="shared" si="13"/>
        <v>0.78061969154518496</v>
      </c>
      <c r="P138" s="4">
        <f t="shared" si="16"/>
        <v>0.91839877732181496</v>
      </c>
      <c r="Q138" s="14" t="s">
        <v>47</v>
      </c>
      <c r="R138" s="14" t="s">
        <v>48</v>
      </c>
      <c r="S138" s="14" t="s">
        <v>49</v>
      </c>
      <c r="T138" s="1" t="s">
        <v>65</v>
      </c>
      <c r="U138" s="1" t="s">
        <v>179</v>
      </c>
      <c r="V138" s="1" t="s">
        <v>51</v>
      </c>
      <c r="W138" s="1">
        <v>3485</v>
      </c>
      <c r="X138" s="1" t="s">
        <v>193</v>
      </c>
      <c r="Y138" s="4">
        <f>92.5/K138</f>
        <v>6.4459930313588848E-2</v>
      </c>
      <c r="AB138" s="1" t="s">
        <v>65</v>
      </c>
      <c r="AC138" s="15">
        <v>93158</v>
      </c>
      <c r="AD138" s="15">
        <v>7672879</v>
      </c>
      <c r="AE138" s="18" t="s">
        <v>194</v>
      </c>
    </row>
    <row r="139" spans="1:31">
      <c r="A139" s="1" t="s">
        <v>44</v>
      </c>
      <c r="C139" s="1">
        <v>341092</v>
      </c>
      <c r="D139" s="1" t="s">
        <v>27</v>
      </c>
      <c r="E139" s="35">
        <v>1</v>
      </c>
      <c r="F139" s="35">
        <v>3.9</v>
      </c>
      <c r="G139" s="16">
        <v>19.091478599999999</v>
      </c>
      <c r="H139" s="36">
        <v>-97.533339799999993</v>
      </c>
      <c r="I139" s="1" t="s">
        <v>45</v>
      </c>
      <c r="J139" s="9" t="s">
        <v>46</v>
      </c>
      <c r="K139" s="1">
        <v>1505</v>
      </c>
      <c r="L139" s="1">
        <v>930</v>
      </c>
      <c r="M139" s="1">
        <f t="shared" si="14"/>
        <v>1217.5</v>
      </c>
      <c r="N139" s="4">
        <f t="shared" si="15"/>
        <v>0.61794019933554822</v>
      </c>
      <c r="O139" s="4">
        <f t="shared" si="13"/>
        <v>0.56213045981177379</v>
      </c>
      <c r="P139" s="4">
        <f t="shared" si="16"/>
        <v>0.826191361890807</v>
      </c>
      <c r="Q139" s="14" t="s">
        <v>47</v>
      </c>
      <c r="R139" s="14" t="s">
        <v>48</v>
      </c>
      <c r="S139" s="14" t="s">
        <v>49</v>
      </c>
      <c r="U139" s="1" t="s">
        <v>50</v>
      </c>
      <c r="V139" s="1" t="s">
        <v>51</v>
      </c>
      <c r="W139" s="1">
        <v>3485</v>
      </c>
      <c r="X139" s="1" t="s">
        <v>52</v>
      </c>
      <c r="Y139" s="4">
        <f>(50.6+80)/K139</f>
        <v>8.6777408637873754E-2</v>
      </c>
      <c r="AA139" s="1" t="s">
        <v>53</v>
      </c>
      <c r="AB139" s="1" t="s">
        <v>65</v>
      </c>
      <c r="AC139" s="15">
        <v>93158</v>
      </c>
      <c r="AD139" s="15">
        <v>7672879</v>
      </c>
      <c r="AE139" s="1" t="s">
        <v>54</v>
      </c>
    </row>
    <row r="140" spans="1:31">
      <c r="A140" s="1" t="s">
        <v>304</v>
      </c>
      <c r="B140" s="1" t="s">
        <v>305</v>
      </c>
      <c r="C140" s="1">
        <v>342160</v>
      </c>
      <c r="D140" s="1" t="s">
        <v>27</v>
      </c>
      <c r="E140" s="1">
        <v>0.41</v>
      </c>
      <c r="F140" s="1">
        <v>2.3199999999999998</v>
      </c>
      <c r="G140" s="11">
        <v>14.464687</v>
      </c>
      <c r="H140" s="19">
        <v>-89.890207200000006</v>
      </c>
      <c r="I140" s="1" t="s">
        <v>306</v>
      </c>
      <c r="J140" s="1" t="s">
        <v>94</v>
      </c>
      <c r="K140" s="1">
        <v>787</v>
      </c>
      <c r="L140" s="1">
        <v>704</v>
      </c>
      <c r="M140" s="1">
        <f t="shared" si="14"/>
        <v>745.5</v>
      </c>
      <c r="N140" s="4">
        <f t="shared" si="15"/>
        <v>0.89453621346886913</v>
      </c>
      <c r="O140" s="4">
        <f t="shared" si="13"/>
        <v>0.84283878163326964</v>
      </c>
      <c r="P140" s="4">
        <f t="shared" si="16"/>
        <v>0.95723319557952957</v>
      </c>
      <c r="Q140" s="14" t="s">
        <v>30</v>
      </c>
      <c r="R140" s="14" t="s">
        <v>65</v>
      </c>
      <c r="S140" s="14" t="s">
        <v>307</v>
      </c>
      <c r="U140" s="1" t="s">
        <v>308</v>
      </c>
      <c r="V140" s="1" t="s">
        <v>69</v>
      </c>
      <c r="W140" s="1">
        <v>1000</v>
      </c>
      <c r="X140" s="1">
        <v>200</v>
      </c>
      <c r="Y140" s="4">
        <f>30/K140</f>
        <v>3.8119440914866583E-2</v>
      </c>
      <c r="Z140" s="1" t="s">
        <v>309</v>
      </c>
      <c r="AA140" s="1" t="s">
        <v>53</v>
      </c>
      <c r="AB140" s="1" t="s">
        <v>65</v>
      </c>
      <c r="AC140" s="15">
        <v>4149</v>
      </c>
      <c r="AD140" s="15">
        <v>8257118</v>
      </c>
      <c r="AE140" s="18" t="s">
        <v>310</v>
      </c>
    </row>
    <row r="141" spans="1:31" s="20" customFormat="1">
      <c r="A141" s="1" t="s">
        <v>349</v>
      </c>
      <c r="B141" s="9" t="s">
        <v>350</v>
      </c>
      <c r="C141" s="9">
        <v>273060</v>
      </c>
      <c r="D141" s="1" t="s">
        <v>27</v>
      </c>
      <c r="E141" s="20">
        <v>0.22</v>
      </c>
      <c r="F141" s="1">
        <v>1.77</v>
      </c>
      <c r="G141" s="9">
        <v>14.182612199999999</v>
      </c>
      <c r="H141" s="9">
        <v>121.2064649</v>
      </c>
      <c r="I141" s="1" t="s">
        <v>316</v>
      </c>
      <c r="J141" s="1" t="s">
        <v>262</v>
      </c>
      <c r="K141" s="1">
        <v>622</v>
      </c>
      <c r="L141" s="1">
        <v>506</v>
      </c>
      <c r="M141" s="1">
        <f t="shared" si="14"/>
        <v>564</v>
      </c>
      <c r="N141" s="4">
        <f t="shared" si="15"/>
        <v>0.81350482315112538</v>
      </c>
      <c r="O141" s="4">
        <f t="shared" si="13"/>
        <v>0.72402244559541307</v>
      </c>
      <c r="P141" s="4">
        <f t="shared" si="16"/>
        <v>0.88244167868716472</v>
      </c>
      <c r="Q141" s="1" t="s">
        <v>30</v>
      </c>
      <c r="R141" s="1" t="s">
        <v>48</v>
      </c>
      <c r="S141" s="14" t="s">
        <v>351</v>
      </c>
      <c r="T141" s="1"/>
      <c r="U141" s="1"/>
      <c r="V141" s="1" t="s">
        <v>352</v>
      </c>
      <c r="W141" s="1">
        <v>100</v>
      </c>
      <c r="X141" s="1" t="s">
        <v>353</v>
      </c>
      <c r="Y141" s="1"/>
      <c r="Z141" s="1">
        <v>1350</v>
      </c>
      <c r="AA141" s="1"/>
      <c r="AB141" s="1" t="s">
        <v>65</v>
      </c>
      <c r="AC141" s="15">
        <v>1349742</v>
      </c>
      <c r="AD141" s="15">
        <v>24626975</v>
      </c>
      <c r="AE141" s="18" t="s">
        <v>354</v>
      </c>
    </row>
    <row r="142" spans="1:31">
      <c r="A142" s="9" t="s">
        <v>355</v>
      </c>
      <c r="B142" s="9" t="s">
        <v>356</v>
      </c>
      <c r="C142" s="9">
        <v>273060</v>
      </c>
      <c r="D142" s="9" t="s">
        <v>27</v>
      </c>
      <c r="E142" s="10">
        <v>0.3125</v>
      </c>
      <c r="F142" s="10">
        <v>2.1646000000000001</v>
      </c>
      <c r="G142" s="11">
        <v>14.121231999999999</v>
      </c>
      <c r="H142" s="19">
        <v>121.3342315</v>
      </c>
      <c r="I142" s="9" t="s">
        <v>316</v>
      </c>
      <c r="J142" s="1" t="s">
        <v>262</v>
      </c>
      <c r="K142" s="1">
        <v>745</v>
      </c>
      <c r="L142" s="1">
        <v>400</v>
      </c>
      <c r="M142" s="1">
        <f t="shared" si="14"/>
        <v>572.5</v>
      </c>
      <c r="N142" s="4">
        <f t="shared" si="15"/>
        <v>0.53691275167785235</v>
      </c>
      <c r="O142" s="4">
        <f t="shared" si="13"/>
        <v>0.71688186609565041</v>
      </c>
      <c r="P142" s="4">
        <f t="shared" si="16"/>
        <v>0.83811686046453249</v>
      </c>
      <c r="Q142" s="14" t="s">
        <v>30</v>
      </c>
      <c r="R142" s="14" t="s">
        <v>48</v>
      </c>
      <c r="S142" s="14" t="s">
        <v>351</v>
      </c>
      <c r="V142" s="1" t="s">
        <v>352</v>
      </c>
      <c r="W142" s="1">
        <v>100</v>
      </c>
      <c r="Z142" s="1">
        <v>1350</v>
      </c>
      <c r="AA142" s="1" t="s">
        <v>53</v>
      </c>
      <c r="AB142" s="1" t="s">
        <v>48</v>
      </c>
      <c r="AC142" s="15">
        <v>1349742</v>
      </c>
      <c r="AD142" s="15">
        <v>24626975</v>
      </c>
      <c r="AE142" s="18" t="s">
        <v>357</v>
      </c>
    </row>
    <row r="143" spans="1:31">
      <c r="A143" s="9" t="s">
        <v>368</v>
      </c>
      <c r="B143" s="9" t="s">
        <v>350</v>
      </c>
      <c r="C143" s="9">
        <v>273060</v>
      </c>
      <c r="D143" s="9" t="s">
        <v>27</v>
      </c>
      <c r="E143" s="10">
        <v>0.5302</v>
      </c>
      <c r="F143" s="10">
        <v>2.7686000000000002</v>
      </c>
      <c r="G143" s="11">
        <v>14.1194252</v>
      </c>
      <c r="H143" s="19">
        <v>121.3665048</v>
      </c>
      <c r="I143" s="9" t="s">
        <v>316</v>
      </c>
      <c r="J143" s="1" t="s">
        <v>262</v>
      </c>
      <c r="K143" s="1">
        <v>945</v>
      </c>
      <c r="L143" s="1">
        <v>720</v>
      </c>
      <c r="M143" s="1">
        <f t="shared" si="14"/>
        <v>832.5</v>
      </c>
      <c r="N143" s="4">
        <f t="shared" si="15"/>
        <v>0.76190476190476186</v>
      </c>
      <c r="O143" s="4">
        <f t="shared" si="13"/>
        <v>0.75593808305319932</v>
      </c>
      <c r="P143" s="4">
        <f t="shared" si="16"/>
        <v>0.86921889478712966</v>
      </c>
      <c r="Q143" s="14" t="s">
        <v>30</v>
      </c>
      <c r="R143" s="14" t="s">
        <v>48</v>
      </c>
      <c r="S143" s="14" t="s">
        <v>351</v>
      </c>
      <c r="V143" s="1" t="s">
        <v>352</v>
      </c>
      <c r="W143" s="1">
        <v>100</v>
      </c>
      <c r="Z143" s="1">
        <v>1350</v>
      </c>
      <c r="AA143" s="1" t="s">
        <v>53</v>
      </c>
      <c r="AB143" s="1" t="s">
        <v>65</v>
      </c>
      <c r="AC143" s="15">
        <v>1349742</v>
      </c>
      <c r="AD143" s="15">
        <v>24626975</v>
      </c>
      <c r="AE143" s="18" t="s">
        <v>357</v>
      </c>
    </row>
    <row r="144" spans="1:31">
      <c r="A144" s="9" t="s">
        <v>366</v>
      </c>
      <c r="B144" s="9" t="s">
        <v>350</v>
      </c>
      <c r="C144" s="9">
        <v>273060</v>
      </c>
      <c r="D144" s="9" t="s">
        <v>27</v>
      </c>
      <c r="E144" s="10">
        <v>0.3332</v>
      </c>
      <c r="F144" s="10">
        <v>2.2858999999999998</v>
      </c>
      <c r="G144" s="11">
        <v>14.114023400000001</v>
      </c>
      <c r="H144" s="19">
        <v>121.3684568</v>
      </c>
      <c r="I144" s="9" t="s">
        <v>316</v>
      </c>
      <c r="J144" s="1" t="s">
        <v>262</v>
      </c>
      <c r="K144" s="1">
        <v>805</v>
      </c>
      <c r="L144" s="1">
        <v>545</v>
      </c>
      <c r="M144" s="1">
        <f t="shared" si="14"/>
        <v>675</v>
      </c>
      <c r="N144" s="4">
        <f t="shared" si="15"/>
        <v>0.67701863354037262</v>
      </c>
      <c r="O144" s="4">
        <f t="shared" si="13"/>
        <v>0.65467137271826892</v>
      </c>
      <c r="P144" s="4">
        <f t="shared" si="16"/>
        <v>0.80130970276824542</v>
      </c>
      <c r="Q144" s="14" t="s">
        <v>30</v>
      </c>
      <c r="R144" s="14" t="s">
        <v>48</v>
      </c>
      <c r="S144" s="14" t="s">
        <v>351</v>
      </c>
      <c r="V144" s="1" t="s">
        <v>352</v>
      </c>
      <c r="W144" s="1">
        <v>100</v>
      </c>
      <c r="X144" s="1" t="s">
        <v>367</v>
      </c>
      <c r="Y144" s="4">
        <f>63/K144</f>
        <v>7.8260869565217397E-2</v>
      </c>
      <c r="Z144" s="1">
        <v>1350</v>
      </c>
      <c r="AA144" s="1" t="s">
        <v>53</v>
      </c>
      <c r="AB144" s="1" t="s">
        <v>65</v>
      </c>
      <c r="AC144" s="15">
        <v>1349742</v>
      </c>
      <c r="AD144" s="15">
        <v>24626975</v>
      </c>
      <c r="AE144" s="18" t="s">
        <v>365</v>
      </c>
    </row>
    <row r="145" spans="1:32">
      <c r="A145" s="9" t="s">
        <v>370</v>
      </c>
      <c r="B145" s="9" t="s">
        <v>350</v>
      </c>
      <c r="C145" s="9">
        <v>273060</v>
      </c>
      <c r="D145" s="9" t="s">
        <v>27</v>
      </c>
      <c r="E145" s="10">
        <v>0.66010000000000002</v>
      </c>
      <c r="F145" s="10">
        <v>3.0430000000000001</v>
      </c>
      <c r="G145" s="11">
        <v>14.1100539</v>
      </c>
      <c r="H145" s="19">
        <v>121.3403921</v>
      </c>
      <c r="I145" s="9" t="s">
        <v>316</v>
      </c>
      <c r="J145" s="1" t="s">
        <v>262</v>
      </c>
      <c r="K145" s="1">
        <v>1010</v>
      </c>
      <c r="L145" s="1">
        <v>825</v>
      </c>
      <c r="M145" s="1">
        <f t="shared" si="14"/>
        <v>917.5</v>
      </c>
      <c r="N145" s="4">
        <f t="shared" si="15"/>
        <v>0.81683168316831678</v>
      </c>
      <c r="O145" s="4">
        <f t="shared" si="13"/>
        <v>0.82390493430024592</v>
      </c>
      <c r="P145" s="4">
        <f t="shared" si="16"/>
        <v>0.89580955829177</v>
      </c>
      <c r="Q145" s="14" t="s">
        <v>30</v>
      </c>
      <c r="R145" s="14" t="s">
        <v>48</v>
      </c>
      <c r="S145" s="14" t="s">
        <v>351</v>
      </c>
      <c r="V145" s="1" t="s">
        <v>352</v>
      </c>
      <c r="W145" s="1">
        <v>100</v>
      </c>
      <c r="X145" s="1" t="s">
        <v>371</v>
      </c>
      <c r="Y145" s="4">
        <f>7.5/K145</f>
        <v>7.4257425742574254E-3</v>
      </c>
      <c r="Z145" s="1">
        <v>1350</v>
      </c>
      <c r="AA145" s="1" t="s">
        <v>53</v>
      </c>
      <c r="AB145" s="1" t="s">
        <v>65</v>
      </c>
      <c r="AC145" s="15">
        <v>1349742</v>
      </c>
      <c r="AD145" s="15">
        <v>24626975</v>
      </c>
      <c r="AE145" s="18" t="s">
        <v>365</v>
      </c>
    </row>
    <row r="146" spans="1:32">
      <c r="A146" s="9" t="s">
        <v>358</v>
      </c>
      <c r="B146" s="9" t="s">
        <v>350</v>
      </c>
      <c r="C146" s="9">
        <v>273060</v>
      </c>
      <c r="D146" s="9" t="s">
        <v>27</v>
      </c>
      <c r="E146" s="10">
        <v>0.25409999999999999</v>
      </c>
      <c r="F146" s="10">
        <v>1.8204</v>
      </c>
      <c r="G146" s="11">
        <v>14.1067334</v>
      </c>
      <c r="H146" s="19">
        <v>121.2964356</v>
      </c>
      <c r="I146" s="9" t="s">
        <v>316</v>
      </c>
      <c r="J146" s="1" t="s">
        <v>178</v>
      </c>
      <c r="K146" s="1">
        <v>590</v>
      </c>
      <c r="L146" s="1">
        <v>560</v>
      </c>
      <c r="M146" s="1">
        <f t="shared" si="14"/>
        <v>575</v>
      </c>
      <c r="N146" s="4">
        <f t="shared" si="15"/>
        <v>0.94915254237288138</v>
      </c>
      <c r="O146" s="4">
        <f t="shared" si="13"/>
        <v>0.92941731777421688</v>
      </c>
      <c r="P146" s="4">
        <f t="shared" si="16"/>
        <v>0.96356468685975372</v>
      </c>
      <c r="Q146" s="14" t="s">
        <v>30</v>
      </c>
      <c r="R146" s="14" t="s">
        <v>48</v>
      </c>
      <c r="S146" s="14" t="s">
        <v>351</v>
      </c>
      <c r="V146" s="1" t="s">
        <v>352</v>
      </c>
      <c r="W146" s="1">
        <v>100</v>
      </c>
      <c r="Z146" s="1">
        <v>1350</v>
      </c>
      <c r="AA146" s="1" t="s">
        <v>53</v>
      </c>
      <c r="AB146" s="1" t="s">
        <v>65</v>
      </c>
      <c r="AC146" s="15">
        <v>1349742</v>
      </c>
      <c r="AD146" s="15">
        <v>24626975</v>
      </c>
      <c r="AE146" s="18" t="s">
        <v>357</v>
      </c>
    </row>
    <row r="147" spans="1:32">
      <c r="A147" s="9" t="s">
        <v>372</v>
      </c>
      <c r="B147" s="9" t="s">
        <v>350</v>
      </c>
      <c r="C147" s="9">
        <v>273060</v>
      </c>
      <c r="D147" s="9" t="s">
        <v>27</v>
      </c>
      <c r="E147" s="10">
        <v>0.74550000000000005</v>
      </c>
      <c r="F147" s="10">
        <v>3.2252000000000001</v>
      </c>
      <c r="G147" s="11">
        <v>14.103153300000001</v>
      </c>
      <c r="H147" s="19">
        <v>121.37789890000001</v>
      </c>
      <c r="I147" s="9" t="s">
        <v>316</v>
      </c>
      <c r="J147" s="1" t="s">
        <v>262</v>
      </c>
      <c r="K147" s="1">
        <v>1060</v>
      </c>
      <c r="L147" s="1">
        <v>905</v>
      </c>
      <c r="M147" s="1">
        <f t="shared" si="14"/>
        <v>982.5</v>
      </c>
      <c r="N147" s="4">
        <f t="shared" si="15"/>
        <v>0.85377358490566035</v>
      </c>
      <c r="O147" s="4">
        <f t="shared" si="13"/>
        <v>0.84478469259528643</v>
      </c>
      <c r="P147" s="4">
        <f t="shared" si="16"/>
        <v>0.90062543839088727</v>
      </c>
      <c r="Q147" s="14" t="s">
        <v>30</v>
      </c>
      <c r="R147" s="14" t="s">
        <v>48</v>
      </c>
      <c r="S147" s="14" t="s">
        <v>351</v>
      </c>
      <c r="V147" s="1" t="s">
        <v>352</v>
      </c>
      <c r="W147" s="1">
        <v>100</v>
      </c>
      <c r="X147" s="1" t="s">
        <v>373</v>
      </c>
      <c r="Y147" s="4">
        <f>135/K147</f>
        <v>0.12735849056603774</v>
      </c>
      <c r="Z147" s="1">
        <v>1350</v>
      </c>
      <c r="AA147" s="1" t="s">
        <v>53</v>
      </c>
      <c r="AB147" s="1" t="s">
        <v>65</v>
      </c>
      <c r="AC147" s="15">
        <v>1349742</v>
      </c>
      <c r="AD147" s="15">
        <v>24626975</v>
      </c>
      <c r="AE147" s="18" t="s">
        <v>365</v>
      </c>
    </row>
    <row r="148" spans="1:32">
      <c r="A148" s="9" t="s">
        <v>377</v>
      </c>
      <c r="B148" s="9" t="s">
        <v>350</v>
      </c>
      <c r="C148" s="9">
        <v>273060</v>
      </c>
      <c r="D148" s="9" t="s">
        <v>27</v>
      </c>
      <c r="E148" s="10">
        <v>1.4722</v>
      </c>
      <c r="F148" s="10">
        <v>4.9813000000000001</v>
      </c>
      <c r="G148" s="11">
        <v>14.0943732</v>
      </c>
      <c r="H148" s="19">
        <v>121.272747</v>
      </c>
      <c r="I148" s="9" t="s">
        <v>316</v>
      </c>
      <c r="J148" s="1" t="s">
        <v>262</v>
      </c>
      <c r="K148" s="1">
        <v>1820</v>
      </c>
      <c r="L148" s="1">
        <v>715</v>
      </c>
      <c r="M148" s="1">
        <f t="shared" si="14"/>
        <v>1267.5</v>
      </c>
      <c r="N148" s="4">
        <f t="shared" si="15"/>
        <v>0.39285714285714285</v>
      </c>
      <c r="O148" s="4">
        <f t="shared" si="13"/>
        <v>0.56589278401132304</v>
      </c>
      <c r="P148" s="4">
        <f t="shared" si="16"/>
        <v>0.74557490421840633</v>
      </c>
      <c r="Q148" s="14" t="s">
        <v>30</v>
      </c>
      <c r="R148" s="14" t="s">
        <v>48</v>
      </c>
      <c r="S148" s="14" t="s">
        <v>351</v>
      </c>
      <c r="V148" s="1" t="s">
        <v>352</v>
      </c>
      <c r="W148" s="1">
        <v>100</v>
      </c>
      <c r="Z148" s="1">
        <v>1350</v>
      </c>
      <c r="AA148" s="1" t="s">
        <v>53</v>
      </c>
      <c r="AB148" s="1" t="s">
        <v>65</v>
      </c>
      <c r="AC148" s="15">
        <v>1349742</v>
      </c>
      <c r="AD148" s="15">
        <v>24626975</v>
      </c>
      <c r="AE148" s="18" t="s">
        <v>357</v>
      </c>
    </row>
    <row r="149" spans="1:32">
      <c r="A149" s="9" t="s">
        <v>363</v>
      </c>
      <c r="B149" s="9" t="s">
        <v>350</v>
      </c>
      <c r="C149" s="9">
        <v>273060</v>
      </c>
      <c r="D149" s="9" t="s">
        <v>27</v>
      </c>
      <c r="E149" s="10">
        <v>0.36</v>
      </c>
      <c r="F149" s="10">
        <v>2.2218</v>
      </c>
      <c r="G149" s="11">
        <v>14.081148799999999</v>
      </c>
      <c r="H149" s="19">
        <v>121.3437078</v>
      </c>
      <c r="I149" s="9" t="s">
        <v>316</v>
      </c>
      <c r="J149" s="1" t="s">
        <v>262</v>
      </c>
      <c r="K149" s="1">
        <v>705</v>
      </c>
      <c r="L149" s="1">
        <v>630</v>
      </c>
      <c r="M149" s="1">
        <f t="shared" si="14"/>
        <v>667.5</v>
      </c>
      <c r="N149" s="4">
        <f t="shared" si="15"/>
        <v>0.8936170212765957</v>
      </c>
      <c r="O149" s="4">
        <f t="shared" si="13"/>
        <v>0.92221967930115911</v>
      </c>
      <c r="P149" s="4">
        <f t="shared" si="16"/>
        <v>0.91643663062305802</v>
      </c>
      <c r="Q149" s="14" t="s">
        <v>30</v>
      </c>
      <c r="R149" s="14" t="s">
        <v>48</v>
      </c>
      <c r="S149" s="14" t="s">
        <v>351</v>
      </c>
      <c r="V149" s="1" t="s">
        <v>352</v>
      </c>
      <c r="W149" s="1">
        <v>100</v>
      </c>
      <c r="X149" s="1" t="s">
        <v>364</v>
      </c>
      <c r="Y149" s="4">
        <f>23/K149</f>
        <v>3.2624113475177303E-2</v>
      </c>
      <c r="Z149" s="1">
        <v>1350</v>
      </c>
      <c r="AA149" s="1" t="s">
        <v>53</v>
      </c>
      <c r="AB149" s="1" t="s">
        <v>65</v>
      </c>
      <c r="AC149" s="15">
        <v>1349742</v>
      </c>
      <c r="AD149" s="15">
        <v>24626975</v>
      </c>
      <c r="AE149" s="18" t="s">
        <v>365</v>
      </c>
    </row>
    <row r="150" spans="1:32">
      <c r="A150" s="9" t="s">
        <v>374</v>
      </c>
      <c r="B150" s="9" t="s">
        <v>350</v>
      </c>
      <c r="C150" s="9">
        <v>273060</v>
      </c>
      <c r="D150" s="9" t="s">
        <v>27</v>
      </c>
      <c r="E150" s="10">
        <v>0.96519999999999995</v>
      </c>
      <c r="F150" s="10">
        <v>3.7376</v>
      </c>
      <c r="G150" s="11">
        <v>14.078127800000001</v>
      </c>
      <c r="H150" s="19">
        <v>121.33025979999999</v>
      </c>
      <c r="I150" s="9" t="s">
        <v>316</v>
      </c>
      <c r="J150" s="1" t="s">
        <v>262</v>
      </c>
      <c r="K150" s="1">
        <v>1230</v>
      </c>
      <c r="L150" s="1">
        <v>990</v>
      </c>
      <c r="M150" s="1">
        <f t="shared" si="14"/>
        <v>1110</v>
      </c>
      <c r="N150" s="4">
        <f t="shared" si="15"/>
        <v>0.80487804878048785</v>
      </c>
      <c r="O150" s="4">
        <f t="shared" si="13"/>
        <v>0.8123014135622838</v>
      </c>
      <c r="P150" s="4">
        <f t="shared" si="16"/>
        <v>0.86824348873335822</v>
      </c>
      <c r="Q150" s="14" t="s">
        <v>30</v>
      </c>
      <c r="R150" s="14" t="s">
        <v>48</v>
      </c>
      <c r="S150" s="14" t="s">
        <v>351</v>
      </c>
      <c r="V150" s="1" t="s">
        <v>352</v>
      </c>
      <c r="W150" s="1">
        <v>100</v>
      </c>
      <c r="X150" s="1" t="s">
        <v>375</v>
      </c>
      <c r="Y150" s="4">
        <f>27/K150</f>
        <v>2.1951219512195121E-2</v>
      </c>
      <c r="Z150" s="1">
        <v>1350</v>
      </c>
      <c r="AA150" s="1" t="s">
        <v>53</v>
      </c>
      <c r="AB150" s="1" t="s">
        <v>65</v>
      </c>
      <c r="AC150" s="15">
        <v>1349742</v>
      </c>
      <c r="AD150" s="15">
        <v>24626975</v>
      </c>
      <c r="AE150" s="18" t="s">
        <v>357</v>
      </c>
    </row>
    <row r="151" spans="1:32">
      <c r="A151" s="9" t="s">
        <v>359</v>
      </c>
      <c r="B151" s="9" t="s">
        <v>350</v>
      </c>
      <c r="C151" s="9">
        <v>273060</v>
      </c>
      <c r="D151" s="9" t="s">
        <v>27</v>
      </c>
      <c r="E151" s="10">
        <v>0.2772</v>
      </c>
      <c r="F151" s="10">
        <v>1.9172</v>
      </c>
      <c r="G151" s="11">
        <v>14.0012554</v>
      </c>
      <c r="H151" s="19">
        <v>121.3715567</v>
      </c>
      <c r="I151" s="9" t="s">
        <v>316</v>
      </c>
      <c r="J151" s="1" t="s">
        <v>262</v>
      </c>
      <c r="K151" s="1">
        <v>645</v>
      </c>
      <c r="L151" s="1">
        <v>570</v>
      </c>
      <c r="M151" s="1">
        <f t="shared" si="14"/>
        <v>607.5</v>
      </c>
      <c r="N151" s="4">
        <f t="shared" si="15"/>
        <v>0.88372093023255816</v>
      </c>
      <c r="O151" s="4">
        <f t="shared" si="13"/>
        <v>0.84836728994792876</v>
      </c>
      <c r="P151" s="4">
        <f t="shared" si="16"/>
        <v>0.94769425809473029</v>
      </c>
      <c r="Q151" s="14" t="s">
        <v>30</v>
      </c>
      <c r="R151" s="14" t="s">
        <v>48</v>
      </c>
      <c r="S151" s="14" t="s">
        <v>351</v>
      </c>
      <c r="V151" s="1" t="s">
        <v>352</v>
      </c>
      <c r="W151" s="1">
        <v>100</v>
      </c>
      <c r="Z151" s="1">
        <v>1350</v>
      </c>
      <c r="AA151" s="1" t="s">
        <v>53</v>
      </c>
      <c r="AB151" s="1" t="s">
        <v>65</v>
      </c>
      <c r="AC151" s="15">
        <v>1349742</v>
      </c>
      <c r="AD151" s="15">
        <v>24626975</v>
      </c>
      <c r="AE151" s="18" t="s">
        <v>357</v>
      </c>
    </row>
    <row r="152" spans="1:32">
      <c r="A152" s="9" t="s">
        <v>369</v>
      </c>
      <c r="B152" s="9" t="s">
        <v>350</v>
      </c>
      <c r="C152" s="9">
        <v>273060</v>
      </c>
      <c r="D152" s="9" t="s">
        <v>27</v>
      </c>
      <c r="E152" s="10">
        <v>0.54710000000000003</v>
      </c>
      <c r="F152" s="10">
        <v>2.6520999999999999</v>
      </c>
      <c r="G152" s="11">
        <v>13.962643999999999</v>
      </c>
      <c r="H152" s="19">
        <v>121.3063025</v>
      </c>
      <c r="I152" s="9" t="s">
        <v>316</v>
      </c>
      <c r="J152" s="1" t="s">
        <v>262</v>
      </c>
      <c r="K152" s="1">
        <v>850</v>
      </c>
      <c r="L152" s="1">
        <v>830</v>
      </c>
      <c r="M152" s="1">
        <f t="shared" si="14"/>
        <v>840</v>
      </c>
      <c r="N152" s="4">
        <f t="shared" si="15"/>
        <v>0.97647058823529409</v>
      </c>
      <c r="O152" s="4">
        <f t="shared" si="13"/>
        <v>0.96413751546658499</v>
      </c>
      <c r="P152" s="4">
        <f t="shared" si="16"/>
        <v>0.97745503424820501</v>
      </c>
      <c r="Q152" s="14" t="s">
        <v>30</v>
      </c>
      <c r="R152" s="14" t="s">
        <v>48</v>
      </c>
      <c r="S152" s="14" t="s">
        <v>351</v>
      </c>
      <c r="V152" s="1" t="s">
        <v>352</v>
      </c>
      <c r="W152" s="1">
        <v>100</v>
      </c>
      <c r="Z152" s="1">
        <v>1350</v>
      </c>
      <c r="AA152" s="1" t="s">
        <v>53</v>
      </c>
      <c r="AB152" s="1" t="s">
        <v>65</v>
      </c>
      <c r="AC152" s="15">
        <v>1349742</v>
      </c>
      <c r="AD152" s="15">
        <v>24626975</v>
      </c>
      <c r="AE152" s="18" t="s">
        <v>357</v>
      </c>
    </row>
    <row r="153" spans="1:32">
      <c r="A153" s="20" t="s">
        <v>403</v>
      </c>
      <c r="B153" s="20"/>
      <c r="C153" s="20">
        <v>343101</v>
      </c>
      <c r="D153" s="1" t="s">
        <v>27</v>
      </c>
      <c r="E153" s="1">
        <v>0.6</v>
      </c>
      <c r="F153" s="1">
        <v>2.89</v>
      </c>
      <c r="G153" s="11">
        <v>13.429623299999999</v>
      </c>
      <c r="H153" s="19">
        <v>-88.105514900000003</v>
      </c>
      <c r="I153" s="1" t="s">
        <v>404</v>
      </c>
      <c r="J153" s="1" t="s">
        <v>405</v>
      </c>
      <c r="K153" s="1">
        <v>990</v>
      </c>
      <c r="L153" s="1">
        <v>798</v>
      </c>
      <c r="M153" s="1">
        <f t="shared" si="14"/>
        <v>894</v>
      </c>
      <c r="N153" s="4">
        <f t="shared" si="15"/>
        <v>0.80606060606060603</v>
      </c>
      <c r="O153" s="4">
        <f t="shared" ref="O153:O184" si="17">E153/(PI()*((K153/2000)^2))</f>
        <v>0.77945487893184129</v>
      </c>
      <c r="P153" s="4">
        <f t="shared" si="16"/>
        <v>0.90274570091539896</v>
      </c>
      <c r="Q153" s="1" t="s">
        <v>117</v>
      </c>
      <c r="R153" s="1" t="s">
        <v>65</v>
      </c>
      <c r="V153" s="1" t="s">
        <v>34</v>
      </c>
      <c r="W153" s="1">
        <v>181</v>
      </c>
      <c r="X153" s="1" t="s">
        <v>406</v>
      </c>
      <c r="AB153" s="1" t="s">
        <v>65</v>
      </c>
      <c r="AC153" s="15">
        <v>15772</v>
      </c>
      <c r="AD153" s="15">
        <v>3009012</v>
      </c>
      <c r="AE153" s="18" t="s">
        <v>43</v>
      </c>
    </row>
    <row r="154" spans="1:32">
      <c r="A154" s="1" t="s">
        <v>1010</v>
      </c>
      <c r="B154" s="1" t="s">
        <v>298</v>
      </c>
      <c r="C154" s="1">
        <v>344080</v>
      </c>
      <c r="D154" s="1" t="s">
        <v>27</v>
      </c>
      <c r="E154" s="1">
        <v>2</v>
      </c>
      <c r="F154" s="1">
        <v>5.5</v>
      </c>
      <c r="G154" s="9">
        <v>12.435558199999999</v>
      </c>
      <c r="H154" s="9">
        <v>-86.663413000000006</v>
      </c>
      <c r="I154" s="1" t="s">
        <v>299</v>
      </c>
      <c r="J154" s="1" t="s">
        <v>94</v>
      </c>
      <c r="K154" s="1">
        <v>2089</v>
      </c>
      <c r="L154" s="1">
        <v>1296</v>
      </c>
      <c r="M154" s="1">
        <f t="shared" si="14"/>
        <v>1692.5</v>
      </c>
      <c r="N154" s="4">
        <f t="shared" si="15"/>
        <v>0.62039253231211111</v>
      </c>
      <c r="O154" s="4">
        <f t="shared" si="17"/>
        <v>0.58353006149064701</v>
      </c>
      <c r="P154" s="4">
        <f t="shared" si="16"/>
        <v>0.83083442078407743</v>
      </c>
      <c r="Q154" s="14" t="s">
        <v>47</v>
      </c>
      <c r="R154" s="1" t="s">
        <v>65</v>
      </c>
      <c r="S154" s="1" t="s">
        <v>298</v>
      </c>
      <c r="U154" s="1" t="s">
        <v>300</v>
      </c>
      <c r="V154" s="1" t="s">
        <v>34</v>
      </c>
      <c r="X154" s="1" t="s">
        <v>301</v>
      </c>
      <c r="Y154" s="4"/>
      <c r="Z154" s="1" t="s">
        <v>110</v>
      </c>
      <c r="AA154" s="1" t="s">
        <v>302</v>
      </c>
      <c r="AB154" s="1" t="s">
        <v>65</v>
      </c>
      <c r="AC154" s="15">
        <v>182</v>
      </c>
      <c r="AD154" s="15">
        <v>3351820</v>
      </c>
      <c r="AE154" s="18" t="s">
        <v>303</v>
      </c>
    </row>
    <row r="155" spans="1:32">
      <c r="A155" s="24" t="s">
        <v>1189</v>
      </c>
      <c r="B155" s="1" t="s">
        <v>325</v>
      </c>
      <c r="C155" s="1">
        <v>344091</v>
      </c>
      <c r="D155" s="1" t="s">
        <v>79</v>
      </c>
      <c r="E155" s="1">
        <v>5.98</v>
      </c>
      <c r="F155" s="1">
        <v>9</v>
      </c>
      <c r="G155" s="9">
        <v>12.222021700000001</v>
      </c>
      <c r="H155" s="9">
        <v>-86.322094399999997</v>
      </c>
      <c r="I155" s="1" t="s">
        <v>299</v>
      </c>
      <c r="J155" s="1" t="s">
        <v>318</v>
      </c>
      <c r="K155" s="1">
        <v>2900</v>
      </c>
      <c r="L155" s="2">
        <v>2387</v>
      </c>
      <c r="M155" s="1">
        <f t="shared" si="14"/>
        <v>2643.5</v>
      </c>
      <c r="N155" s="4">
        <f t="shared" si="15"/>
        <v>0.82310344827586202</v>
      </c>
      <c r="O155" s="4">
        <f t="shared" si="17"/>
        <v>0.90534750029920019</v>
      </c>
      <c r="P155" s="4">
        <f t="shared" si="16"/>
        <v>0.92773946017120823</v>
      </c>
      <c r="Q155" s="1" t="s">
        <v>30</v>
      </c>
      <c r="R155" s="1" t="s">
        <v>31</v>
      </c>
      <c r="S155" s="1" t="s">
        <v>326</v>
      </c>
      <c r="V155" s="1" t="s">
        <v>320</v>
      </c>
      <c r="W155" s="1">
        <v>40</v>
      </c>
      <c r="Z155" s="1">
        <v>6000</v>
      </c>
      <c r="AA155" s="1" t="s">
        <v>327</v>
      </c>
      <c r="AB155" s="1" t="s">
        <v>65</v>
      </c>
      <c r="AC155" s="15">
        <v>295906</v>
      </c>
      <c r="AD155" s="15">
        <v>3062823</v>
      </c>
      <c r="AE155" s="18" t="s">
        <v>321</v>
      </c>
      <c r="AF155" s="1" t="s">
        <v>1190</v>
      </c>
    </row>
    <row r="156" spans="1:32">
      <c r="A156" s="1" t="s">
        <v>651</v>
      </c>
      <c r="C156" s="1">
        <v>344092</v>
      </c>
      <c r="D156" s="1" t="s">
        <v>27</v>
      </c>
      <c r="E156" s="1">
        <v>0.31</v>
      </c>
      <c r="F156" s="1">
        <v>2.0099999999999998</v>
      </c>
      <c r="G156" s="9">
        <v>12.139523199999999</v>
      </c>
      <c r="H156" s="9">
        <v>-86.270866299999994</v>
      </c>
      <c r="I156" s="1" t="s">
        <v>299</v>
      </c>
      <c r="J156" s="1" t="s">
        <v>318</v>
      </c>
      <c r="K156" s="1">
        <v>658</v>
      </c>
      <c r="L156" s="1">
        <v>585</v>
      </c>
      <c r="M156" s="1">
        <f t="shared" si="14"/>
        <v>621.5</v>
      </c>
      <c r="N156" s="4">
        <f t="shared" si="15"/>
        <v>0.88905775075987847</v>
      </c>
      <c r="O156" s="4">
        <f t="shared" si="17"/>
        <v>0.91163297379897734</v>
      </c>
      <c r="P156" s="4">
        <f t="shared" si="16"/>
        <v>0.9642273434943055</v>
      </c>
      <c r="Q156" s="1" t="s">
        <v>30</v>
      </c>
      <c r="R156" s="1" t="s">
        <v>31</v>
      </c>
      <c r="S156" s="1" t="s">
        <v>319</v>
      </c>
      <c r="V156" s="1" t="s">
        <v>320</v>
      </c>
      <c r="AB156" s="1" t="s">
        <v>65</v>
      </c>
      <c r="AC156" s="15">
        <v>295906</v>
      </c>
      <c r="AD156" s="15">
        <v>3062823</v>
      </c>
      <c r="AE156" s="18" t="s">
        <v>1013</v>
      </c>
    </row>
    <row r="157" spans="1:32">
      <c r="A157" s="1" t="s">
        <v>297</v>
      </c>
      <c r="C157" s="1">
        <v>344092</v>
      </c>
      <c r="D157" s="1" t="s">
        <v>27</v>
      </c>
      <c r="E157" s="1">
        <v>1.1399999999999999</v>
      </c>
      <c r="F157" s="1">
        <v>4.0999999999999996</v>
      </c>
      <c r="G157" s="9">
        <v>12.1367116</v>
      </c>
      <c r="H157" s="9">
        <v>-86.315462499999995</v>
      </c>
      <c r="I157" s="1" t="s">
        <v>299</v>
      </c>
      <c r="J157" s="1" t="s">
        <v>318</v>
      </c>
      <c r="K157" s="1">
        <v>1371</v>
      </c>
      <c r="L157" s="1">
        <v>1023</v>
      </c>
      <c r="M157" s="1">
        <f t="shared" si="14"/>
        <v>1197</v>
      </c>
      <c r="N157" s="4">
        <f t="shared" si="15"/>
        <v>0.74617067833698025</v>
      </c>
      <c r="O157" s="4">
        <f t="shared" si="17"/>
        <v>0.77221824859006882</v>
      </c>
      <c r="P157" s="4">
        <f t="shared" si="16"/>
        <v>0.85221073767813549</v>
      </c>
      <c r="Q157" s="1" t="s">
        <v>30</v>
      </c>
      <c r="R157" s="1" t="s">
        <v>31</v>
      </c>
      <c r="S157" s="1" t="s">
        <v>319</v>
      </c>
      <c r="V157" s="1" t="s">
        <v>320</v>
      </c>
      <c r="W157" s="1">
        <v>40</v>
      </c>
      <c r="X157" s="1">
        <v>216</v>
      </c>
      <c r="Y157" s="4">
        <f>X157/K157</f>
        <v>0.1575492341356674</v>
      </c>
      <c r="Z157" s="1">
        <v>1245</v>
      </c>
      <c r="AA157" s="1" t="s">
        <v>53</v>
      </c>
      <c r="AB157" s="1" t="s">
        <v>65</v>
      </c>
      <c r="AC157" s="15">
        <v>295906</v>
      </c>
      <c r="AD157" s="15">
        <v>3062823</v>
      </c>
      <c r="AE157" s="1" t="s">
        <v>321</v>
      </c>
    </row>
    <row r="158" spans="1:32">
      <c r="A158" s="1" t="s">
        <v>322</v>
      </c>
      <c r="C158" s="1">
        <v>344092</v>
      </c>
      <c r="D158" s="1" t="s">
        <v>27</v>
      </c>
      <c r="E158" s="1">
        <v>2.1</v>
      </c>
      <c r="F158" s="1">
        <v>6.5</v>
      </c>
      <c r="G158" s="9">
        <v>12.117842899999999</v>
      </c>
      <c r="H158" s="9">
        <v>-86.320908399999993</v>
      </c>
      <c r="I158" s="1" t="s">
        <v>299</v>
      </c>
      <c r="J158" s="1" t="s">
        <v>318</v>
      </c>
      <c r="K158" s="1">
        <v>2520</v>
      </c>
      <c r="L158" s="1">
        <v>1279</v>
      </c>
      <c r="M158" s="1">
        <f t="shared" si="14"/>
        <v>1899.5</v>
      </c>
      <c r="N158" s="4">
        <f t="shared" si="15"/>
        <v>0.50753968253968251</v>
      </c>
      <c r="O158" s="4">
        <f t="shared" si="17"/>
        <v>0.42104482299443213</v>
      </c>
      <c r="P158" s="4">
        <f t="shared" si="16"/>
        <v>0.62460066958945004</v>
      </c>
      <c r="Q158" s="1" t="s">
        <v>30</v>
      </c>
      <c r="R158" s="1" t="s">
        <v>31</v>
      </c>
      <c r="S158" s="1" t="s">
        <v>319</v>
      </c>
      <c r="T158" s="1" t="s">
        <v>683</v>
      </c>
      <c r="V158" s="1" t="s">
        <v>320</v>
      </c>
      <c r="W158" s="1">
        <v>40</v>
      </c>
      <c r="X158" s="1">
        <v>198</v>
      </c>
      <c r="Y158" s="4">
        <f>X158/K158</f>
        <v>7.857142857142857E-2</v>
      </c>
      <c r="Z158" s="1" t="s">
        <v>323</v>
      </c>
      <c r="AA158" s="1" t="s">
        <v>324</v>
      </c>
      <c r="AB158" s="1" t="s">
        <v>65</v>
      </c>
      <c r="AC158" s="15">
        <v>295906</v>
      </c>
      <c r="AD158" s="15">
        <v>3062823</v>
      </c>
      <c r="AE158" s="1" t="s">
        <v>321</v>
      </c>
    </row>
    <row r="159" spans="1:32">
      <c r="A159" s="1" t="s">
        <v>1011</v>
      </c>
      <c r="C159" s="1">
        <v>344092</v>
      </c>
      <c r="D159" s="1" t="s">
        <v>27</v>
      </c>
      <c r="E159" s="1">
        <v>1.69</v>
      </c>
      <c r="F159" s="1">
        <v>6.29</v>
      </c>
      <c r="G159" s="9">
        <v>12.094728099999999</v>
      </c>
      <c r="H159" s="9">
        <v>-86.317475099999996</v>
      </c>
      <c r="I159" s="1" t="s">
        <v>299</v>
      </c>
      <c r="J159" s="1" t="s">
        <v>318</v>
      </c>
      <c r="K159" s="1">
        <v>2390</v>
      </c>
      <c r="L159" s="1">
        <v>889</v>
      </c>
      <c r="M159" s="1">
        <f t="shared" si="14"/>
        <v>1639.5</v>
      </c>
      <c r="N159" s="4">
        <f t="shared" si="15"/>
        <v>0.37196652719665274</v>
      </c>
      <c r="O159" s="4">
        <f t="shared" si="17"/>
        <v>0.37670468489739761</v>
      </c>
      <c r="P159" s="4">
        <f t="shared" si="16"/>
        <v>0.53677870438774034</v>
      </c>
      <c r="Q159" s="1" t="s">
        <v>30</v>
      </c>
      <c r="R159" s="1" t="s">
        <v>31</v>
      </c>
      <c r="S159" s="1" t="s">
        <v>319</v>
      </c>
      <c r="T159" s="1" t="s">
        <v>683</v>
      </c>
      <c r="V159" s="1" t="s">
        <v>320</v>
      </c>
      <c r="W159" s="1">
        <v>200</v>
      </c>
      <c r="X159" s="1">
        <v>92</v>
      </c>
      <c r="Y159" s="4">
        <f>X159/K159</f>
        <v>3.8493723849372385E-2</v>
      </c>
      <c r="Z159" s="1" t="s">
        <v>427</v>
      </c>
      <c r="AA159" s="1" t="s">
        <v>324</v>
      </c>
      <c r="AB159" s="1" t="s">
        <v>48</v>
      </c>
      <c r="AC159" s="15">
        <v>295906</v>
      </c>
      <c r="AD159" s="15">
        <v>3062823</v>
      </c>
      <c r="AE159" s="1" t="s">
        <v>321</v>
      </c>
    </row>
    <row r="160" spans="1:32">
      <c r="A160" s="1" t="s">
        <v>173</v>
      </c>
      <c r="B160" s="1" t="s">
        <v>174</v>
      </c>
      <c r="C160" s="1">
        <v>345040</v>
      </c>
      <c r="D160" s="1" t="s">
        <v>27</v>
      </c>
      <c r="E160" s="1">
        <v>0.44</v>
      </c>
      <c r="F160" s="1">
        <v>2.41</v>
      </c>
      <c r="G160" s="11">
        <v>10.3559286</v>
      </c>
      <c r="H160" s="19">
        <v>-84.2166864</v>
      </c>
      <c r="I160" s="1" t="s">
        <v>165</v>
      </c>
      <c r="J160" s="1" t="s">
        <v>94</v>
      </c>
      <c r="K160" s="1">
        <v>775</v>
      </c>
      <c r="L160" s="1">
        <v>627</v>
      </c>
      <c r="M160" s="1">
        <f t="shared" si="14"/>
        <v>701</v>
      </c>
      <c r="N160" s="4">
        <f t="shared" si="15"/>
        <v>0.80903225806451617</v>
      </c>
      <c r="O160" s="4">
        <f t="shared" si="17"/>
        <v>0.9327373980161856</v>
      </c>
      <c r="P160" s="4">
        <f t="shared" si="16"/>
        <v>0.95198138295105728</v>
      </c>
      <c r="Q160" s="14" t="s">
        <v>47</v>
      </c>
      <c r="R160" s="14" t="s">
        <v>65</v>
      </c>
      <c r="S160" s="14" t="s">
        <v>175</v>
      </c>
      <c r="U160" s="1" t="s">
        <v>176</v>
      </c>
      <c r="V160" s="1" t="s">
        <v>1108</v>
      </c>
      <c r="W160" s="1">
        <v>400</v>
      </c>
      <c r="X160" s="1">
        <f>52+66</f>
        <v>118</v>
      </c>
      <c r="Y160" s="4">
        <f>X160/K160</f>
        <v>0.15225806451612903</v>
      </c>
      <c r="Z160" s="1">
        <v>4000</v>
      </c>
      <c r="AA160" s="1" t="s">
        <v>42</v>
      </c>
      <c r="AB160" s="1" t="s">
        <v>65</v>
      </c>
      <c r="AC160" s="15">
        <v>1947</v>
      </c>
      <c r="AD160" s="15">
        <v>3411023</v>
      </c>
      <c r="AE160" s="18" t="s">
        <v>172</v>
      </c>
    </row>
    <row r="161" spans="1:31">
      <c r="A161" s="1" t="s">
        <v>163</v>
      </c>
      <c r="B161" s="1" t="s">
        <v>164</v>
      </c>
      <c r="C161" s="1">
        <v>345040</v>
      </c>
      <c r="D161" s="1" t="s">
        <v>27</v>
      </c>
      <c r="E161" s="1">
        <v>3.28</v>
      </c>
      <c r="F161" s="1">
        <v>6.8</v>
      </c>
      <c r="G161" s="9">
        <v>10.2986319</v>
      </c>
      <c r="H161" s="9">
        <v>-84.213029800000001</v>
      </c>
      <c r="I161" s="1" t="s">
        <v>165</v>
      </c>
      <c r="J161" s="1" t="s">
        <v>166</v>
      </c>
      <c r="K161" s="1">
        <v>2235</v>
      </c>
      <c r="L161" s="1">
        <v>1916</v>
      </c>
      <c r="M161" s="1">
        <f t="shared" si="14"/>
        <v>2075.5</v>
      </c>
      <c r="N161" s="4">
        <f t="shared" si="15"/>
        <v>0.85727069351230423</v>
      </c>
      <c r="O161" s="4">
        <f t="shared" si="17"/>
        <v>0.83604356294888293</v>
      </c>
      <c r="P161" s="4">
        <f t="shared" si="16"/>
        <v>0.89138615084554684</v>
      </c>
      <c r="Q161" s="14" t="s">
        <v>30</v>
      </c>
      <c r="R161" s="14" t="s">
        <v>48</v>
      </c>
      <c r="S161" s="14" t="s">
        <v>167</v>
      </c>
      <c r="T161" s="1" t="s">
        <v>48</v>
      </c>
      <c r="U161" s="1" t="s">
        <v>168</v>
      </c>
      <c r="V161" s="1" t="s">
        <v>169</v>
      </c>
      <c r="X161" s="1" t="s">
        <v>170</v>
      </c>
      <c r="Y161" s="4"/>
      <c r="Z161" s="1">
        <v>6200</v>
      </c>
      <c r="AA161" s="1" t="s">
        <v>171</v>
      </c>
      <c r="AB161" s="1" t="s">
        <v>65</v>
      </c>
      <c r="AC161" s="15">
        <v>1947</v>
      </c>
      <c r="AD161" s="15">
        <v>3411023</v>
      </c>
      <c r="AE161" s="18" t="s">
        <v>172</v>
      </c>
    </row>
    <row r="162" spans="1:31">
      <c r="A162" s="20" t="s">
        <v>275</v>
      </c>
      <c r="B162" s="20"/>
      <c r="C162" s="20">
        <v>221172</v>
      </c>
      <c r="D162" s="1" t="s">
        <v>27</v>
      </c>
      <c r="E162" s="1">
        <v>0.15</v>
      </c>
      <c r="F162" s="1">
        <v>1.5</v>
      </c>
      <c r="G162" s="11">
        <v>9.5642853999999993</v>
      </c>
      <c r="H162" s="19">
        <v>40.272825900000001</v>
      </c>
      <c r="I162" s="1" t="s">
        <v>276</v>
      </c>
      <c r="J162" s="1" t="s">
        <v>94</v>
      </c>
      <c r="K162" s="1">
        <v>519</v>
      </c>
      <c r="L162" s="1">
        <v>395</v>
      </c>
      <c r="M162" s="1">
        <f t="shared" ref="M162:M178" si="18">AVERAGE(K162:L162)</f>
        <v>457</v>
      </c>
      <c r="N162" s="4">
        <f t="shared" si="15"/>
        <v>0.76107899807321777</v>
      </c>
      <c r="O162" s="4">
        <f t="shared" si="17"/>
        <v>0.7090333482214366</v>
      </c>
      <c r="P162" s="4">
        <f t="shared" si="16"/>
        <v>0.83775804095727813</v>
      </c>
      <c r="Q162" s="1" t="s">
        <v>47</v>
      </c>
      <c r="R162" s="1" t="s">
        <v>31</v>
      </c>
      <c r="S162" s="1" t="s">
        <v>277</v>
      </c>
      <c r="U162" s="1" t="s">
        <v>278</v>
      </c>
      <c r="V162" s="1" t="s">
        <v>152</v>
      </c>
      <c r="W162" s="1">
        <v>878</v>
      </c>
      <c r="AB162" s="1" t="s">
        <v>65</v>
      </c>
      <c r="AC162" s="15">
        <v>22847</v>
      </c>
      <c r="AD162" s="15">
        <v>2688559</v>
      </c>
      <c r="AE162" s="18" t="s">
        <v>43</v>
      </c>
    </row>
    <row r="163" spans="1:31">
      <c r="A163" s="1" t="s">
        <v>315</v>
      </c>
      <c r="C163" s="1">
        <v>271080</v>
      </c>
      <c r="D163" s="1" t="s">
        <v>27</v>
      </c>
      <c r="E163" s="1">
        <v>0.21</v>
      </c>
      <c r="F163" s="1">
        <v>1.67</v>
      </c>
      <c r="G163" s="9">
        <v>9.1327722999999992</v>
      </c>
      <c r="H163" s="9">
        <v>124.79362879999999</v>
      </c>
      <c r="I163" s="1" t="s">
        <v>316</v>
      </c>
      <c r="J163" s="1" t="s">
        <v>187</v>
      </c>
      <c r="K163" s="1">
        <v>553</v>
      </c>
      <c r="L163" s="1">
        <v>527</v>
      </c>
      <c r="M163" s="1">
        <f t="shared" si="18"/>
        <v>540</v>
      </c>
      <c r="N163" s="4">
        <f t="shared" si="15"/>
        <v>0.9529837251356239</v>
      </c>
      <c r="O163" s="4">
        <f t="shared" si="17"/>
        <v>0.87433759109242737</v>
      </c>
      <c r="P163" s="4">
        <f t="shared" si="16"/>
        <v>0.9462289178584482</v>
      </c>
      <c r="Q163" s="1" t="s">
        <v>117</v>
      </c>
      <c r="R163" s="1" t="s">
        <v>65</v>
      </c>
      <c r="W163" s="1">
        <v>1</v>
      </c>
      <c r="AB163" s="1" t="s">
        <v>65</v>
      </c>
      <c r="AC163" s="15">
        <v>12173</v>
      </c>
      <c r="AD163" s="15">
        <v>2871353</v>
      </c>
      <c r="AE163" s="18" t="s">
        <v>317</v>
      </c>
    </row>
    <row r="164" spans="1:31">
      <c r="A164" s="1" t="s">
        <v>613</v>
      </c>
      <c r="B164" s="1" t="s">
        <v>611</v>
      </c>
      <c r="C164" s="1">
        <v>221220</v>
      </c>
      <c r="D164" s="1" t="s">
        <v>27</v>
      </c>
      <c r="E164" s="1">
        <v>0.5</v>
      </c>
      <c r="F164" s="1">
        <v>2.61</v>
      </c>
      <c r="G164" s="9">
        <v>8.8021574999999999</v>
      </c>
      <c r="H164" s="9">
        <v>39.104954200000002</v>
      </c>
      <c r="I164" s="1" t="s">
        <v>276</v>
      </c>
      <c r="J164" s="1" t="s">
        <v>29</v>
      </c>
      <c r="K164" s="1">
        <v>897</v>
      </c>
      <c r="L164" s="1">
        <v>699</v>
      </c>
      <c r="M164" s="1">
        <f t="shared" si="18"/>
        <v>798</v>
      </c>
      <c r="N164" s="4">
        <f t="shared" si="15"/>
        <v>0.77926421404682278</v>
      </c>
      <c r="O164" s="4">
        <f t="shared" si="17"/>
        <v>0.79121632043337986</v>
      </c>
      <c r="P164" s="4">
        <f t="shared" si="16"/>
        <v>0.92235658712872504</v>
      </c>
      <c r="Q164" s="1" t="s">
        <v>30</v>
      </c>
      <c r="R164" s="1" t="s">
        <v>48</v>
      </c>
      <c r="S164" s="1" t="s">
        <v>611</v>
      </c>
      <c r="V164" s="1" t="s">
        <v>152</v>
      </c>
      <c r="W164" s="1">
        <v>1800</v>
      </c>
      <c r="X164" s="1">
        <v>110</v>
      </c>
      <c r="Y164" s="4">
        <f>X164/K164</f>
        <v>0.12263099219620958</v>
      </c>
      <c r="Z164" s="1" t="s">
        <v>110</v>
      </c>
      <c r="AA164" s="1" t="s">
        <v>53</v>
      </c>
      <c r="AB164" s="1" t="s">
        <v>65</v>
      </c>
      <c r="AC164" s="15">
        <v>310101</v>
      </c>
      <c r="AD164" s="15">
        <v>7986826</v>
      </c>
      <c r="AE164" s="18" t="s">
        <v>614</v>
      </c>
    </row>
    <row r="165" spans="1:31">
      <c r="A165" s="1" t="s">
        <v>615</v>
      </c>
      <c r="B165" s="1" t="s">
        <v>610</v>
      </c>
      <c r="C165" s="1">
        <v>221220</v>
      </c>
      <c r="D165" s="1" t="s">
        <v>27</v>
      </c>
      <c r="E165" s="1">
        <v>1</v>
      </c>
      <c r="F165" s="1">
        <v>3.64</v>
      </c>
      <c r="G165" s="9">
        <v>8.7873409000000002</v>
      </c>
      <c r="H165" s="9">
        <v>38.993431000000001</v>
      </c>
      <c r="I165" s="1" t="s">
        <v>276</v>
      </c>
      <c r="J165" s="1" t="s">
        <v>318</v>
      </c>
      <c r="K165" s="1">
        <v>1213</v>
      </c>
      <c r="L165" s="1">
        <v>1073</v>
      </c>
      <c r="M165" s="1">
        <f t="shared" si="18"/>
        <v>1143</v>
      </c>
      <c r="N165" s="4">
        <f t="shared" si="15"/>
        <v>0.88458367683429517</v>
      </c>
      <c r="O165" s="4">
        <f t="shared" si="17"/>
        <v>0.86534346226892278</v>
      </c>
      <c r="P165" s="4">
        <f t="shared" si="16"/>
        <v>0.94843396135424252</v>
      </c>
      <c r="Q165" s="1" t="s">
        <v>30</v>
      </c>
      <c r="R165" s="1" t="s">
        <v>48</v>
      </c>
      <c r="S165" s="1" t="s">
        <v>611</v>
      </c>
      <c r="V165" s="1" t="s">
        <v>152</v>
      </c>
      <c r="W165" s="1">
        <v>1800</v>
      </c>
      <c r="Z165" s="1" t="s">
        <v>110</v>
      </c>
      <c r="AA165" s="1" t="s">
        <v>53</v>
      </c>
      <c r="AB165" s="1" t="s">
        <v>65</v>
      </c>
      <c r="AC165" s="15">
        <v>310101</v>
      </c>
      <c r="AD165" s="15">
        <v>7986826</v>
      </c>
      <c r="AE165" s="18" t="s">
        <v>612</v>
      </c>
    </row>
    <row r="166" spans="1:31">
      <c r="A166" s="1" t="s">
        <v>609</v>
      </c>
      <c r="B166" s="1" t="s">
        <v>610</v>
      </c>
      <c r="C166" s="1">
        <v>221220</v>
      </c>
      <c r="D166" s="1" t="s">
        <v>27</v>
      </c>
      <c r="E166" s="1">
        <v>0.46</v>
      </c>
      <c r="F166" s="1">
        <v>2.72</v>
      </c>
      <c r="G166" s="9">
        <v>8.7775469000000008</v>
      </c>
      <c r="H166" s="9">
        <v>38.999690999999999</v>
      </c>
      <c r="I166" s="1" t="s">
        <v>276</v>
      </c>
      <c r="J166" s="1" t="s">
        <v>318</v>
      </c>
      <c r="K166" s="1">
        <v>971</v>
      </c>
      <c r="L166" s="1">
        <v>561</v>
      </c>
      <c r="M166" s="1">
        <f t="shared" si="18"/>
        <v>766</v>
      </c>
      <c r="N166" s="4">
        <f t="shared" si="15"/>
        <v>0.57775489186405771</v>
      </c>
      <c r="O166" s="4">
        <f t="shared" si="17"/>
        <v>0.62119720141378554</v>
      </c>
      <c r="P166" s="4">
        <f t="shared" si="16"/>
        <v>0.78132170234175191</v>
      </c>
      <c r="Q166" s="1" t="s">
        <v>30</v>
      </c>
      <c r="R166" s="1" t="s">
        <v>48</v>
      </c>
      <c r="S166" s="1" t="s">
        <v>611</v>
      </c>
      <c r="V166" s="1" t="s">
        <v>152</v>
      </c>
      <c r="W166" s="1">
        <v>1800</v>
      </c>
      <c r="Z166" s="1" t="s">
        <v>110</v>
      </c>
      <c r="AA166" s="1" t="s">
        <v>53</v>
      </c>
      <c r="AB166" s="1" t="s">
        <v>48</v>
      </c>
      <c r="AC166" s="15">
        <v>310101</v>
      </c>
      <c r="AD166" s="15">
        <v>7986826</v>
      </c>
      <c r="AE166" s="18" t="s">
        <v>612</v>
      </c>
    </row>
    <row r="167" spans="1:31">
      <c r="A167" s="1" t="s">
        <v>617</v>
      </c>
      <c r="B167" s="1" t="s">
        <v>610</v>
      </c>
      <c r="C167" s="1">
        <v>221220</v>
      </c>
      <c r="D167" s="1" t="s">
        <v>27</v>
      </c>
      <c r="E167" s="1">
        <v>2</v>
      </c>
      <c r="F167" s="1">
        <v>5.91</v>
      </c>
      <c r="G167" s="9">
        <v>8.7643900000000006</v>
      </c>
      <c r="H167" s="9">
        <v>38.991207699999997</v>
      </c>
      <c r="I167" s="1" t="s">
        <v>276</v>
      </c>
      <c r="J167" s="1" t="s">
        <v>318</v>
      </c>
      <c r="K167" s="1">
        <v>1865</v>
      </c>
      <c r="L167" s="1">
        <v>1247</v>
      </c>
      <c r="M167" s="1">
        <f t="shared" si="18"/>
        <v>1556</v>
      </c>
      <c r="N167" s="4">
        <f t="shared" si="15"/>
        <v>0.66863270777479888</v>
      </c>
      <c r="O167" s="4">
        <f t="shared" si="17"/>
        <v>0.73212028821319075</v>
      </c>
      <c r="P167" s="4">
        <f t="shared" si="16"/>
        <v>0.71955649544974798</v>
      </c>
      <c r="Q167" s="1" t="s">
        <v>30</v>
      </c>
      <c r="R167" s="1" t="s">
        <v>48</v>
      </c>
      <c r="S167" s="1" t="s">
        <v>611</v>
      </c>
      <c r="V167" s="1" t="s">
        <v>152</v>
      </c>
      <c r="W167" s="1">
        <v>1800</v>
      </c>
      <c r="Z167" s="1" t="s">
        <v>110</v>
      </c>
      <c r="AA167" s="1" t="s">
        <v>53</v>
      </c>
      <c r="AB167" s="1" t="s">
        <v>48</v>
      </c>
      <c r="AC167" s="15">
        <v>310101</v>
      </c>
      <c r="AD167" s="15">
        <v>7986826</v>
      </c>
      <c r="AE167" s="18" t="s">
        <v>612</v>
      </c>
    </row>
    <row r="168" spans="1:31" ht="14.25" customHeight="1">
      <c r="A168" s="1" t="s">
        <v>616</v>
      </c>
      <c r="B168" s="1" t="s">
        <v>610</v>
      </c>
      <c r="C168" s="1">
        <v>221220</v>
      </c>
      <c r="D168" s="1" t="s">
        <v>27</v>
      </c>
      <c r="E168" s="1">
        <v>1.32</v>
      </c>
      <c r="F168" s="1">
        <v>4.25</v>
      </c>
      <c r="G168" s="9">
        <v>8.7415836999999996</v>
      </c>
      <c r="H168" s="9">
        <v>38.982877999999999</v>
      </c>
      <c r="I168" s="1" t="s">
        <v>276</v>
      </c>
      <c r="J168" s="1" t="s">
        <v>318</v>
      </c>
      <c r="K168" s="1">
        <v>1524</v>
      </c>
      <c r="L168" s="1">
        <v>1131</v>
      </c>
      <c r="M168" s="1">
        <f t="shared" si="18"/>
        <v>1327.5</v>
      </c>
      <c r="N168" s="4">
        <f t="shared" si="15"/>
        <v>0.74212598425196852</v>
      </c>
      <c r="O168" s="4">
        <f t="shared" si="17"/>
        <v>0.72362592184299446</v>
      </c>
      <c r="P168" s="4">
        <f t="shared" si="16"/>
        <v>0.91834514662721722</v>
      </c>
      <c r="Q168" s="1" t="s">
        <v>30</v>
      </c>
      <c r="R168" s="1" t="s">
        <v>48</v>
      </c>
      <c r="S168" s="1" t="s">
        <v>611</v>
      </c>
      <c r="V168" s="1" t="s">
        <v>152</v>
      </c>
      <c r="W168" s="1">
        <v>1800</v>
      </c>
      <c r="Z168" s="1" t="s">
        <v>110</v>
      </c>
      <c r="AA168" s="1" t="s">
        <v>53</v>
      </c>
      <c r="AB168" s="1" t="s">
        <v>65</v>
      </c>
      <c r="AC168" s="15">
        <v>310101</v>
      </c>
      <c r="AD168" s="15">
        <v>7986826</v>
      </c>
      <c r="AE168" s="18" t="s">
        <v>612</v>
      </c>
    </row>
    <row r="169" spans="1:31">
      <c r="A169" s="1" t="s">
        <v>624</v>
      </c>
      <c r="B169" s="1" t="s">
        <v>610</v>
      </c>
      <c r="C169" s="1">
        <v>221220</v>
      </c>
      <c r="D169" s="1" t="s">
        <v>27</v>
      </c>
      <c r="E169" s="1">
        <v>1.56</v>
      </c>
      <c r="F169" s="1">
        <v>4.5599999999999996</v>
      </c>
      <c r="G169" s="9">
        <v>8.6958997999999994</v>
      </c>
      <c r="H169" s="9">
        <v>38.9766689</v>
      </c>
      <c r="I169" s="1" t="s">
        <v>276</v>
      </c>
      <c r="J169" s="1" t="s">
        <v>187</v>
      </c>
      <c r="K169" s="1">
        <v>1505</v>
      </c>
      <c r="L169" s="1">
        <v>1232</v>
      </c>
      <c r="M169" s="1">
        <f t="shared" si="18"/>
        <v>1368.5</v>
      </c>
      <c r="N169" s="4">
        <f t="shared" si="15"/>
        <v>0.81860465116279069</v>
      </c>
      <c r="O169" s="4">
        <f t="shared" si="17"/>
        <v>0.8769235173063672</v>
      </c>
      <c r="P169" s="4">
        <f t="shared" si="16"/>
        <v>0.94276787850109212</v>
      </c>
      <c r="Q169" s="1" t="s">
        <v>30</v>
      </c>
      <c r="R169" s="1" t="s">
        <v>48</v>
      </c>
      <c r="S169" s="1" t="s">
        <v>611</v>
      </c>
      <c r="V169" s="1" t="s">
        <v>152</v>
      </c>
      <c r="W169" s="1">
        <v>2000</v>
      </c>
      <c r="Z169" s="1" t="s">
        <v>110</v>
      </c>
      <c r="AA169" s="1" t="s">
        <v>53</v>
      </c>
      <c r="AB169" s="1" t="s">
        <v>65</v>
      </c>
      <c r="AC169" s="15">
        <v>310101</v>
      </c>
      <c r="AD169" s="15">
        <v>7986826</v>
      </c>
      <c r="AE169" s="18" t="s">
        <v>612</v>
      </c>
    </row>
    <row r="170" spans="1:31">
      <c r="A170" s="20" t="s">
        <v>604</v>
      </c>
      <c r="B170" s="20"/>
      <c r="C170" s="20">
        <v>221921</v>
      </c>
      <c r="D170" s="1" t="s">
        <v>27</v>
      </c>
      <c r="E170" s="1">
        <v>1.83</v>
      </c>
      <c r="F170" s="1">
        <v>4.95</v>
      </c>
      <c r="G170" s="11">
        <v>7.0958291999999998</v>
      </c>
      <c r="H170" s="19">
        <v>38.0911902</v>
      </c>
      <c r="I170" s="1" t="s">
        <v>276</v>
      </c>
      <c r="J170" s="1" t="s">
        <v>601</v>
      </c>
      <c r="K170" s="1">
        <v>1703</v>
      </c>
      <c r="L170" s="1">
        <v>1400</v>
      </c>
      <c r="M170" s="1">
        <f t="shared" si="18"/>
        <v>1551.5</v>
      </c>
      <c r="N170" s="4">
        <f t="shared" si="15"/>
        <v>0.8220786846741045</v>
      </c>
      <c r="O170" s="4">
        <f t="shared" si="17"/>
        <v>0.80340015732154046</v>
      </c>
      <c r="P170" s="4">
        <f t="shared" si="16"/>
        <v>0.9385351790338653</v>
      </c>
      <c r="Q170" s="1" t="s">
        <v>47</v>
      </c>
      <c r="R170" s="14" t="s">
        <v>31</v>
      </c>
      <c r="S170" s="1" t="s">
        <v>602</v>
      </c>
      <c r="V170" s="1" t="s">
        <v>51</v>
      </c>
      <c r="W170" s="1">
        <v>1700</v>
      </c>
      <c r="AB170" s="1" t="s">
        <v>65</v>
      </c>
      <c r="AC170" s="15">
        <v>310101</v>
      </c>
      <c r="AD170" s="15">
        <v>7986826</v>
      </c>
      <c r="AE170" s="18" t="s">
        <v>43</v>
      </c>
    </row>
    <row r="171" spans="1:31">
      <c r="A171" s="33" t="s">
        <v>600</v>
      </c>
      <c r="B171" s="20" t="s">
        <v>940</v>
      </c>
      <c r="C171" s="20">
        <v>221921</v>
      </c>
      <c r="D171" s="1" t="s">
        <v>27</v>
      </c>
      <c r="E171" s="1">
        <v>1.28</v>
      </c>
      <c r="F171" s="1">
        <v>4.3099999999999996</v>
      </c>
      <c r="G171" s="11">
        <v>7.0640624000000001</v>
      </c>
      <c r="H171" s="19">
        <v>38.095731899999997</v>
      </c>
      <c r="I171" s="1" t="s">
        <v>276</v>
      </c>
      <c r="J171" s="1" t="s">
        <v>601</v>
      </c>
      <c r="K171" s="1">
        <v>1472</v>
      </c>
      <c r="L171" s="1">
        <v>1170</v>
      </c>
      <c r="M171" s="1">
        <f t="shared" si="18"/>
        <v>1321</v>
      </c>
      <c r="N171" s="4">
        <f t="shared" si="15"/>
        <v>0.79483695652173914</v>
      </c>
      <c r="O171" s="4">
        <f t="shared" si="17"/>
        <v>0.75215001461198183</v>
      </c>
      <c r="P171" s="4">
        <f t="shared" si="16"/>
        <v>0.86589512257038592</v>
      </c>
      <c r="Q171" s="1" t="s">
        <v>47</v>
      </c>
      <c r="R171" s="14" t="s">
        <v>31</v>
      </c>
      <c r="S171" s="1" t="s">
        <v>602</v>
      </c>
      <c r="V171" s="1" t="s">
        <v>51</v>
      </c>
      <c r="W171" s="1">
        <v>1700</v>
      </c>
      <c r="AB171" s="1" t="s">
        <v>65</v>
      </c>
      <c r="AC171" s="15">
        <v>310101</v>
      </c>
      <c r="AD171" s="15">
        <v>7986826</v>
      </c>
      <c r="AE171" s="18" t="s">
        <v>941</v>
      </c>
    </row>
    <row r="172" spans="1:31">
      <c r="A172" s="33" t="s">
        <v>603</v>
      </c>
      <c r="B172" s="20"/>
      <c r="C172" s="20">
        <v>221291</v>
      </c>
      <c r="D172" s="1" t="s">
        <v>27</v>
      </c>
      <c r="E172" s="1">
        <v>1.34</v>
      </c>
      <c r="F172" s="1">
        <v>4.3600000000000003</v>
      </c>
      <c r="G172" s="11">
        <v>7.0415510000000001</v>
      </c>
      <c r="H172" s="19">
        <v>38.086145899999998</v>
      </c>
      <c r="I172" s="1" t="s">
        <v>276</v>
      </c>
      <c r="J172" s="1" t="s">
        <v>601</v>
      </c>
      <c r="K172" s="1">
        <v>1454</v>
      </c>
      <c r="L172" s="1">
        <v>1221</v>
      </c>
      <c r="M172" s="1">
        <f t="shared" si="18"/>
        <v>1337.5</v>
      </c>
      <c r="N172" s="4">
        <f t="shared" si="15"/>
        <v>0.83975240715268229</v>
      </c>
      <c r="O172" s="4">
        <f t="shared" si="17"/>
        <v>0.80702335630831912</v>
      </c>
      <c r="P172" s="4">
        <f t="shared" si="16"/>
        <v>0.8858122539791099</v>
      </c>
      <c r="Q172" s="1" t="s">
        <v>47</v>
      </c>
      <c r="R172" s="14" t="s">
        <v>31</v>
      </c>
      <c r="S172" s="1" t="s">
        <v>602</v>
      </c>
      <c r="V172" s="1" t="s">
        <v>51</v>
      </c>
      <c r="W172" s="1">
        <v>1700</v>
      </c>
      <c r="AB172" s="1" t="s">
        <v>65</v>
      </c>
      <c r="AC172" s="15">
        <v>310101</v>
      </c>
      <c r="AD172" s="15">
        <v>7986826</v>
      </c>
      <c r="AE172" s="18" t="s">
        <v>43</v>
      </c>
    </row>
    <row r="173" spans="1:31">
      <c r="A173" s="1" t="s">
        <v>460</v>
      </c>
      <c r="D173" s="1" t="s">
        <v>27</v>
      </c>
      <c r="E173" s="1">
        <v>2.63</v>
      </c>
      <c r="F173" s="1">
        <v>5.81</v>
      </c>
      <c r="G173" s="11">
        <v>4.7298039999999997</v>
      </c>
      <c r="H173" s="21">
        <v>9.2818331999999995</v>
      </c>
      <c r="I173" s="1" t="s">
        <v>197</v>
      </c>
      <c r="J173" s="1" t="s">
        <v>94</v>
      </c>
      <c r="K173" s="1">
        <v>1845</v>
      </c>
      <c r="L173" s="1">
        <v>1814</v>
      </c>
      <c r="M173" s="1">
        <f t="shared" si="18"/>
        <v>1829.5</v>
      </c>
      <c r="N173" s="4">
        <f t="shared" si="15"/>
        <v>0.98319783197831978</v>
      </c>
      <c r="O173" s="4">
        <f t="shared" si="17"/>
        <v>0.98372368083474071</v>
      </c>
      <c r="P173" s="4">
        <f t="shared" si="16"/>
        <v>0.97906910797647329</v>
      </c>
      <c r="Q173" s="14" t="s">
        <v>30</v>
      </c>
      <c r="R173" s="14" t="s">
        <v>31</v>
      </c>
      <c r="S173" s="14" t="s">
        <v>199</v>
      </c>
      <c r="V173" s="1" t="s">
        <v>152</v>
      </c>
      <c r="W173" s="1">
        <v>450</v>
      </c>
      <c r="X173" s="1">
        <v>81</v>
      </c>
      <c r="Y173" s="4">
        <f>X173/K173</f>
        <v>4.3902439024390241E-2</v>
      </c>
      <c r="AB173" s="1" t="s">
        <v>65</v>
      </c>
      <c r="AC173" s="15" t="s">
        <v>36</v>
      </c>
      <c r="AD173" s="15" t="s">
        <v>36</v>
      </c>
      <c r="AE173" s="18" t="s">
        <v>461</v>
      </c>
    </row>
    <row r="174" spans="1:31" ht="20.45" customHeight="1">
      <c r="A174" s="9" t="s">
        <v>439</v>
      </c>
      <c r="B174" s="9"/>
      <c r="C174" s="9">
        <v>224012</v>
      </c>
      <c r="D174" s="9" t="s">
        <v>79</v>
      </c>
      <c r="E174" s="10">
        <v>12.7</v>
      </c>
      <c r="F174" s="10">
        <v>13.7</v>
      </c>
      <c r="G174" s="37">
        <v>4.6620178000000001</v>
      </c>
      <c r="H174" s="9">
        <v>9.4019569999999995</v>
      </c>
      <c r="I174" s="9" t="s">
        <v>197</v>
      </c>
      <c r="J174" s="1" t="s">
        <v>187</v>
      </c>
      <c r="K174" s="13">
        <v>4768</v>
      </c>
      <c r="L174" s="1">
        <v>3046</v>
      </c>
      <c r="M174" s="1">
        <f t="shared" si="18"/>
        <v>3907</v>
      </c>
      <c r="N174" s="4">
        <f t="shared" si="15"/>
        <v>0.63884228187919467</v>
      </c>
      <c r="O174" s="4">
        <f t="shared" si="17"/>
        <v>0.71128122651677816</v>
      </c>
      <c r="P174" s="4">
        <f t="shared" si="16"/>
        <v>0.85030053174043119</v>
      </c>
      <c r="Q174" s="14" t="s">
        <v>30</v>
      </c>
      <c r="R174" s="14" t="s">
        <v>31</v>
      </c>
      <c r="S174" s="14" t="s">
        <v>199</v>
      </c>
      <c r="T174" s="1" t="s">
        <v>48</v>
      </c>
      <c r="V174" s="1" t="s">
        <v>152</v>
      </c>
      <c r="W174" s="1">
        <v>300</v>
      </c>
      <c r="X174" s="1" t="s">
        <v>440</v>
      </c>
      <c r="Y174" s="4">
        <f>133/K174</f>
        <v>2.7894295302013424E-2</v>
      </c>
      <c r="AA174" s="1" t="s">
        <v>126</v>
      </c>
      <c r="AB174" s="1" t="s">
        <v>48</v>
      </c>
      <c r="AC174" s="15">
        <v>1092929</v>
      </c>
      <c r="AD174" s="15">
        <v>24381814</v>
      </c>
      <c r="AE174" s="18" t="s">
        <v>441</v>
      </c>
    </row>
    <row r="175" spans="1:31">
      <c r="A175" s="1" t="s">
        <v>195</v>
      </c>
      <c r="B175" s="1" t="s">
        <v>196</v>
      </c>
      <c r="C175" s="1">
        <v>224010</v>
      </c>
      <c r="D175" s="1" t="s">
        <v>27</v>
      </c>
      <c r="E175" s="1">
        <v>0.12</v>
      </c>
      <c r="F175" s="1">
        <v>1.27</v>
      </c>
      <c r="G175" s="11">
        <v>4.1039130999999998</v>
      </c>
      <c r="H175" s="21">
        <v>8.9804539999999999</v>
      </c>
      <c r="I175" s="1" t="s">
        <v>197</v>
      </c>
      <c r="J175" s="1" t="s">
        <v>198</v>
      </c>
      <c r="K175" s="1">
        <v>410</v>
      </c>
      <c r="L175" s="1">
        <v>390</v>
      </c>
      <c r="M175" s="1">
        <f t="shared" si="18"/>
        <v>400</v>
      </c>
      <c r="N175" s="4">
        <f t="shared" si="15"/>
        <v>0.95121951219512191</v>
      </c>
      <c r="O175" s="4">
        <f t="shared" si="17"/>
        <v>0.90891579636061604</v>
      </c>
      <c r="P175" s="4">
        <f t="shared" si="16"/>
        <v>0.93493984358800941</v>
      </c>
      <c r="Q175" s="14" t="s">
        <v>30</v>
      </c>
      <c r="R175" s="14" t="s">
        <v>31</v>
      </c>
      <c r="S175" s="14" t="s">
        <v>199</v>
      </c>
      <c r="U175" s="1" t="s">
        <v>200</v>
      </c>
      <c r="V175" s="1" t="s">
        <v>152</v>
      </c>
      <c r="W175" s="1">
        <v>10</v>
      </c>
      <c r="X175" s="1" t="s">
        <v>201</v>
      </c>
      <c r="Y175" s="4">
        <f>20/K175</f>
        <v>4.878048780487805E-2</v>
      </c>
      <c r="Z175" s="1" t="s">
        <v>202</v>
      </c>
      <c r="AA175" s="1" t="s">
        <v>203</v>
      </c>
      <c r="AB175" s="1" t="s">
        <v>65</v>
      </c>
      <c r="AC175" s="15">
        <v>328</v>
      </c>
      <c r="AD175" s="15">
        <v>3079036</v>
      </c>
      <c r="AE175" s="18" t="s">
        <v>204</v>
      </c>
    </row>
    <row r="176" spans="1:31" ht="15" customHeight="1">
      <c r="A176" s="33" t="s">
        <v>549</v>
      </c>
      <c r="B176" s="20"/>
      <c r="C176" s="20">
        <v>223033</v>
      </c>
      <c r="D176" s="1" t="s">
        <v>27</v>
      </c>
      <c r="E176" s="1">
        <v>1</v>
      </c>
      <c r="F176" s="1">
        <v>3.59</v>
      </c>
      <c r="G176" s="11">
        <v>-7.4565500000000007E-2</v>
      </c>
      <c r="H176" s="19">
        <v>29.9911013</v>
      </c>
      <c r="I176" s="1" t="s">
        <v>550</v>
      </c>
      <c r="J176" s="1" t="s">
        <v>187</v>
      </c>
      <c r="K176" s="1">
        <v>1183</v>
      </c>
      <c r="L176" s="1">
        <v>1088</v>
      </c>
      <c r="M176" s="1">
        <f t="shared" si="18"/>
        <v>1135.5</v>
      </c>
      <c r="N176" s="4">
        <f t="shared" si="15"/>
        <v>0.91969568892645814</v>
      </c>
      <c r="O176" s="4">
        <f t="shared" si="17"/>
        <v>0.90978889061304713</v>
      </c>
      <c r="P176" s="4">
        <f t="shared" si="16"/>
        <v>0.97503670939542464</v>
      </c>
      <c r="Q176" s="1" t="s">
        <v>47</v>
      </c>
      <c r="R176" s="1" t="s">
        <v>48</v>
      </c>
      <c r="S176" s="1" t="s">
        <v>551</v>
      </c>
      <c r="V176" s="1" t="s">
        <v>152</v>
      </c>
      <c r="W176" s="1">
        <v>1000</v>
      </c>
      <c r="AA176" s="1" t="s">
        <v>552</v>
      </c>
      <c r="AB176" s="1" t="s">
        <v>65</v>
      </c>
      <c r="AC176" s="15" t="s">
        <v>36</v>
      </c>
      <c r="AD176" s="15" t="s">
        <v>36</v>
      </c>
      <c r="AE176" s="18" t="s">
        <v>43</v>
      </c>
    </row>
    <row r="177" spans="1:32">
      <c r="A177" s="33" t="s">
        <v>555</v>
      </c>
      <c r="B177" s="20"/>
      <c r="C177" s="20">
        <v>223033</v>
      </c>
      <c r="D177" s="1" t="s">
        <v>27</v>
      </c>
      <c r="E177" s="1">
        <v>2.84</v>
      </c>
      <c r="F177" s="1">
        <v>6.07</v>
      </c>
      <c r="G177" s="11">
        <v>-8.9431800000000006E-2</v>
      </c>
      <c r="H177" s="19">
        <v>29.986664999999999</v>
      </c>
      <c r="I177" s="1" t="s">
        <v>550</v>
      </c>
      <c r="J177" s="1" t="s">
        <v>29</v>
      </c>
      <c r="K177" s="1">
        <v>2077</v>
      </c>
      <c r="L177" s="1">
        <v>1852</v>
      </c>
      <c r="M177" s="1">
        <f t="shared" si="18"/>
        <v>1964.5</v>
      </c>
      <c r="N177" s="4">
        <f t="shared" si="15"/>
        <v>0.89167067886374574</v>
      </c>
      <c r="O177" s="4">
        <f t="shared" si="17"/>
        <v>0.8382150719327699</v>
      </c>
      <c r="P177" s="4">
        <f t="shared" si="16"/>
        <v>0.96861417848277631</v>
      </c>
      <c r="Q177" s="1" t="s">
        <v>47</v>
      </c>
      <c r="R177" s="1" t="s">
        <v>48</v>
      </c>
      <c r="S177" s="1" t="s">
        <v>551</v>
      </c>
      <c r="V177" s="1" t="s">
        <v>152</v>
      </c>
      <c r="W177" s="1">
        <v>1000</v>
      </c>
      <c r="AA177" s="1" t="s">
        <v>552</v>
      </c>
      <c r="AB177" s="1" t="s">
        <v>65</v>
      </c>
      <c r="AC177" s="15" t="s">
        <v>36</v>
      </c>
      <c r="AD177" s="15" t="s">
        <v>36</v>
      </c>
      <c r="AE177" s="18" t="s">
        <v>945</v>
      </c>
      <c r="AF177" s="1" t="s">
        <v>1191</v>
      </c>
    </row>
    <row r="178" spans="1:32">
      <c r="A178" s="24" t="s">
        <v>674</v>
      </c>
      <c r="C178" s="1">
        <v>223004</v>
      </c>
      <c r="D178" s="1" t="s">
        <v>27</v>
      </c>
      <c r="E178" s="1">
        <v>3.3</v>
      </c>
      <c r="F178" s="1">
        <v>8.8800000000000008</v>
      </c>
      <c r="G178" s="9">
        <v>-0.2287421</v>
      </c>
      <c r="H178" s="9">
        <v>30.109414399999999</v>
      </c>
      <c r="I178" s="1" t="s">
        <v>550</v>
      </c>
      <c r="J178" s="1" t="s">
        <v>178</v>
      </c>
      <c r="K178" s="1">
        <v>2669</v>
      </c>
      <c r="L178" s="1">
        <v>1559</v>
      </c>
      <c r="M178" s="1">
        <f t="shared" si="18"/>
        <v>2114</v>
      </c>
      <c r="N178" s="4">
        <f t="shared" si="15"/>
        <v>0.58411390033720489</v>
      </c>
      <c r="O178" s="4">
        <f t="shared" si="17"/>
        <v>0.58983007201398796</v>
      </c>
      <c r="P178" s="4">
        <f t="shared" si="16"/>
        <v>0.5258935839646901</v>
      </c>
      <c r="Q178" s="1" t="s">
        <v>47</v>
      </c>
      <c r="R178" s="1" t="s">
        <v>48</v>
      </c>
      <c r="S178" s="1" t="s">
        <v>674</v>
      </c>
      <c r="V178" s="1" t="s">
        <v>152</v>
      </c>
      <c r="AB178" s="1" t="s">
        <v>65</v>
      </c>
      <c r="AC178" s="15" t="s">
        <v>36</v>
      </c>
      <c r="AD178" s="15" t="s">
        <v>36</v>
      </c>
      <c r="AE178" s="18" t="s">
        <v>43</v>
      </c>
      <c r="AF178" s="1" t="s">
        <v>1191</v>
      </c>
    </row>
    <row r="179" spans="1:32">
      <c r="A179" s="9" t="s">
        <v>519</v>
      </c>
      <c r="B179" s="9"/>
      <c r="C179" s="9"/>
      <c r="D179" s="9" t="s">
        <v>520</v>
      </c>
      <c r="E179" s="10">
        <v>0.28999999999999998</v>
      </c>
      <c r="F179" s="10">
        <v>1.94</v>
      </c>
      <c r="G179" s="9">
        <v>-2.6837013999999999</v>
      </c>
      <c r="H179" s="9">
        <v>35.992257600000002</v>
      </c>
      <c r="I179" s="9" t="s">
        <v>149</v>
      </c>
      <c r="J179" s="1" t="s">
        <v>29</v>
      </c>
      <c r="K179" s="13">
        <v>660</v>
      </c>
      <c r="L179" s="1">
        <v>547</v>
      </c>
      <c r="M179" s="1">
        <v>603.5</v>
      </c>
      <c r="N179" s="4">
        <f t="shared" si="15"/>
        <v>0.82878787878787874</v>
      </c>
      <c r="O179" s="4">
        <f t="shared" si="17"/>
        <v>0.84765718083837716</v>
      </c>
      <c r="P179" s="4">
        <f t="shared" si="16"/>
        <v>0.96828767089067902</v>
      </c>
      <c r="Q179" s="14" t="s">
        <v>30</v>
      </c>
      <c r="R179" s="14" t="s">
        <v>48</v>
      </c>
      <c r="S179" s="14" t="s">
        <v>150</v>
      </c>
      <c r="V179" s="1" t="s">
        <v>152</v>
      </c>
      <c r="W179" s="1">
        <v>700</v>
      </c>
      <c r="Y179" s="4"/>
      <c r="AA179" s="1" t="s">
        <v>521</v>
      </c>
      <c r="AB179" s="1" t="s">
        <v>65</v>
      </c>
      <c r="AC179" s="15" t="s">
        <v>36</v>
      </c>
      <c r="AD179" s="15" t="s">
        <v>36</v>
      </c>
      <c r="AE179" s="18" t="s">
        <v>522</v>
      </c>
    </row>
    <row r="180" spans="1:32">
      <c r="A180" s="9" t="s">
        <v>148</v>
      </c>
      <c r="B180" s="9"/>
      <c r="C180" s="9"/>
      <c r="D180" s="9" t="s">
        <v>27</v>
      </c>
      <c r="E180" s="10">
        <v>0.26</v>
      </c>
      <c r="F180" s="10">
        <v>1.86</v>
      </c>
      <c r="G180" s="9">
        <v>-2.7578239</v>
      </c>
      <c r="H180" s="9">
        <v>36.031278399999998</v>
      </c>
      <c r="I180" s="9" t="s">
        <v>149</v>
      </c>
      <c r="J180" s="1" t="s">
        <v>29</v>
      </c>
      <c r="K180" s="13">
        <v>585</v>
      </c>
      <c r="L180" s="1">
        <v>514</v>
      </c>
      <c r="M180" s="1">
        <f>AVERAGE(K180:L180)</f>
        <v>549.5</v>
      </c>
      <c r="N180" s="4">
        <f t="shared" si="15"/>
        <v>0.87863247863247862</v>
      </c>
      <c r="O180" s="4">
        <f t="shared" si="17"/>
        <v>0.9673234907769519</v>
      </c>
      <c r="P180" s="4">
        <f t="shared" si="16"/>
        <v>0.94440292511659862</v>
      </c>
      <c r="Q180" s="14" t="s">
        <v>30</v>
      </c>
      <c r="R180" s="14" t="s">
        <v>48</v>
      </c>
      <c r="S180" s="14" t="s">
        <v>150</v>
      </c>
      <c r="U180" s="1" t="s">
        <v>151</v>
      </c>
      <c r="V180" s="1" t="s">
        <v>152</v>
      </c>
      <c r="W180" s="1">
        <v>1000</v>
      </c>
      <c r="X180" s="1">
        <v>90</v>
      </c>
      <c r="Y180" s="4">
        <f>X180/K180</f>
        <v>0.15384615384615385</v>
      </c>
      <c r="AA180" s="1" t="s">
        <v>153</v>
      </c>
      <c r="AB180" s="1" t="s">
        <v>65</v>
      </c>
      <c r="AC180" s="15" t="s">
        <v>36</v>
      </c>
      <c r="AD180" s="15" t="s">
        <v>36</v>
      </c>
      <c r="AE180" s="18" t="s">
        <v>154</v>
      </c>
    </row>
    <row r="181" spans="1:32">
      <c r="A181" s="24" t="s">
        <v>653</v>
      </c>
      <c r="C181" s="20">
        <v>222120</v>
      </c>
      <c r="D181" s="1" t="s">
        <v>27</v>
      </c>
      <c r="E181" s="1">
        <v>0.33</v>
      </c>
      <c r="F181" s="1">
        <v>2.14</v>
      </c>
      <c r="G181" s="9">
        <v>-2.7764688999999998</v>
      </c>
      <c r="H181" s="9">
        <v>35.888972500000001</v>
      </c>
      <c r="I181" s="1" t="s">
        <v>149</v>
      </c>
      <c r="J181" s="1" t="s">
        <v>654</v>
      </c>
      <c r="K181" s="1">
        <v>738</v>
      </c>
      <c r="L181" s="1">
        <v>646</v>
      </c>
      <c r="M181" s="1">
        <f>AVERAGE(K181:L181)</f>
        <v>692</v>
      </c>
      <c r="N181" s="4">
        <f t="shared" si="15"/>
        <v>0.87533875338753386</v>
      </c>
      <c r="O181" s="4">
        <f t="shared" si="17"/>
        <v>0.77145630863941161</v>
      </c>
      <c r="P181" s="4">
        <f t="shared" si="16"/>
        <v>0.90551626839429789</v>
      </c>
      <c r="Q181" s="1" t="s">
        <v>30</v>
      </c>
      <c r="R181" s="1" t="s">
        <v>31</v>
      </c>
      <c r="S181" s="1" t="s">
        <v>655</v>
      </c>
      <c r="V181" s="1" t="s">
        <v>152</v>
      </c>
      <c r="AB181" s="1" t="s">
        <v>65</v>
      </c>
      <c r="AC181" s="15" t="s">
        <v>36</v>
      </c>
      <c r="AD181" s="15" t="s">
        <v>36</v>
      </c>
      <c r="AE181" s="18" t="s">
        <v>154</v>
      </c>
    </row>
    <row r="182" spans="1:32">
      <c r="A182" s="9" t="s">
        <v>155</v>
      </c>
      <c r="B182" s="9"/>
      <c r="C182" s="9"/>
      <c r="D182" s="9" t="s">
        <v>27</v>
      </c>
      <c r="E182" s="10">
        <v>0.56999999999999995</v>
      </c>
      <c r="F182" s="10">
        <v>2.78</v>
      </c>
      <c r="G182" s="9">
        <v>-2.8022733999999998</v>
      </c>
      <c r="H182" s="9">
        <v>35.979213199999997</v>
      </c>
      <c r="I182" s="9" t="s">
        <v>149</v>
      </c>
      <c r="J182" s="1" t="s">
        <v>29</v>
      </c>
      <c r="K182" s="13">
        <v>874</v>
      </c>
      <c r="L182" s="1">
        <v>867</v>
      </c>
      <c r="M182" s="1">
        <f>AVERAGE(K182:L182)</f>
        <v>870.5</v>
      </c>
      <c r="N182" s="4">
        <f t="shared" si="15"/>
        <v>0.99199084668192217</v>
      </c>
      <c r="O182" s="4">
        <f t="shared" si="17"/>
        <v>0.95008422898355582</v>
      </c>
      <c r="P182" s="4">
        <f t="shared" si="16"/>
        <v>0.92681942577826304</v>
      </c>
      <c r="Q182" s="14" t="s">
        <v>30</v>
      </c>
      <c r="R182" s="14" t="s">
        <v>48</v>
      </c>
      <c r="S182" s="14" t="s">
        <v>150</v>
      </c>
      <c r="U182" s="1" t="s">
        <v>151</v>
      </c>
      <c r="V182" s="1" t="s">
        <v>152</v>
      </c>
      <c r="W182" s="1">
        <v>1000</v>
      </c>
      <c r="X182" s="1">
        <v>125</v>
      </c>
      <c r="Y182" s="4">
        <f>X182/K182</f>
        <v>0.14302059496567507</v>
      </c>
      <c r="Z182" s="1" t="s">
        <v>156</v>
      </c>
      <c r="AA182" s="1" t="s">
        <v>153</v>
      </c>
      <c r="AB182" s="1" t="s">
        <v>65</v>
      </c>
      <c r="AC182" s="15" t="s">
        <v>36</v>
      </c>
      <c r="AD182" s="15" t="s">
        <v>36</v>
      </c>
      <c r="AE182" s="18" t="s">
        <v>154</v>
      </c>
    </row>
    <row r="183" spans="1:32">
      <c r="A183" s="9" t="s">
        <v>868</v>
      </c>
      <c r="B183" s="9"/>
      <c r="C183" s="9"/>
      <c r="D183" s="9" t="s">
        <v>27</v>
      </c>
      <c r="E183" s="10">
        <v>0.315</v>
      </c>
      <c r="F183" s="10">
        <v>2</v>
      </c>
      <c r="G183" s="9">
        <v>-2.8218687999999998</v>
      </c>
      <c r="H183" s="9">
        <v>36.003179099999997</v>
      </c>
      <c r="I183" s="9" t="s">
        <v>149</v>
      </c>
      <c r="J183" s="1" t="s">
        <v>29</v>
      </c>
      <c r="K183" s="13">
        <v>704</v>
      </c>
      <c r="L183" s="1">
        <v>566.5</v>
      </c>
      <c r="M183" s="1">
        <v>603.5</v>
      </c>
      <c r="N183" s="4">
        <f t="shared" si="15"/>
        <v>0.8046875</v>
      </c>
      <c r="O183" s="4">
        <f t="shared" si="17"/>
        <v>0.80923629703556044</v>
      </c>
      <c r="P183" s="4">
        <f t="shared" si="16"/>
        <v>0.98960168588078479</v>
      </c>
      <c r="Q183" s="14" t="s">
        <v>30</v>
      </c>
      <c r="R183" s="14" t="s">
        <v>48</v>
      </c>
      <c r="S183" s="14" t="s">
        <v>150</v>
      </c>
      <c r="V183" s="1" t="s">
        <v>152</v>
      </c>
      <c r="W183" s="1">
        <v>1000</v>
      </c>
      <c r="Y183" s="4"/>
      <c r="AA183" s="1" t="s">
        <v>521</v>
      </c>
      <c r="AB183" s="1" t="s">
        <v>65</v>
      </c>
      <c r="AC183" s="15" t="s">
        <v>36</v>
      </c>
      <c r="AD183" s="15" t="s">
        <v>36</v>
      </c>
      <c r="AE183" s="18" t="s">
        <v>545</v>
      </c>
    </row>
    <row r="184" spans="1:32">
      <c r="A184" s="1" t="s">
        <v>456</v>
      </c>
      <c r="C184" s="1">
        <v>263320</v>
      </c>
      <c r="D184" s="1" t="s">
        <v>27</v>
      </c>
      <c r="E184" s="1">
        <v>0.55000000000000004</v>
      </c>
      <c r="F184" s="1">
        <v>2.7</v>
      </c>
      <c r="G184" s="11">
        <v>-7.9272277999999998</v>
      </c>
      <c r="H184" s="19">
        <v>113.3103637</v>
      </c>
      <c r="I184" s="1" t="s">
        <v>379</v>
      </c>
      <c r="J184" s="1" t="s">
        <v>86</v>
      </c>
      <c r="K184" s="1">
        <v>894</v>
      </c>
      <c r="L184" s="1">
        <v>768</v>
      </c>
      <c r="M184" s="1">
        <f t="shared" ref="M184:M203" si="19">AVERAGE(K184:L184)</f>
        <v>831</v>
      </c>
      <c r="N184" s="4">
        <f t="shared" si="15"/>
        <v>0.85906040268456374</v>
      </c>
      <c r="O184" s="4">
        <f t="shared" si="17"/>
        <v>0.87618894745023934</v>
      </c>
      <c r="P184" s="4">
        <f t="shared" si="16"/>
        <v>0.94808008750309247</v>
      </c>
      <c r="Q184" s="14" t="s">
        <v>30</v>
      </c>
      <c r="R184" s="14" t="s">
        <v>48</v>
      </c>
      <c r="S184" s="14" t="s">
        <v>424</v>
      </c>
      <c r="V184" s="1" t="s">
        <v>34</v>
      </c>
      <c r="W184" s="1">
        <v>400</v>
      </c>
      <c r="X184" s="1">
        <v>200</v>
      </c>
      <c r="Y184" s="4">
        <f>X184/K184</f>
        <v>0.22371364653243847</v>
      </c>
      <c r="AA184" s="1" t="s">
        <v>324</v>
      </c>
      <c r="AB184" s="1" t="s">
        <v>65</v>
      </c>
      <c r="AC184" s="15">
        <v>6588</v>
      </c>
      <c r="AD184" s="15">
        <v>15322387</v>
      </c>
      <c r="AE184" s="18" t="s">
        <v>425</v>
      </c>
    </row>
    <row r="185" spans="1:32">
      <c r="A185" s="1" t="s">
        <v>470</v>
      </c>
      <c r="C185" s="1">
        <v>263320</v>
      </c>
      <c r="D185" s="1" t="s">
        <v>27</v>
      </c>
      <c r="E185" s="1">
        <v>0.18</v>
      </c>
      <c r="F185" s="1">
        <v>1.54</v>
      </c>
      <c r="G185" s="11">
        <v>-7.9330822000000003</v>
      </c>
      <c r="H185" s="19">
        <v>113.35089170000001</v>
      </c>
      <c r="I185" s="1" t="s">
        <v>379</v>
      </c>
      <c r="J185" s="1" t="s">
        <v>94</v>
      </c>
      <c r="K185" s="1">
        <v>495</v>
      </c>
      <c r="L185" s="1">
        <v>449</v>
      </c>
      <c r="M185" s="1">
        <f t="shared" si="19"/>
        <v>472</v>
      </c>
      <c r="N185" s="4">
        <f t="shared" si="15"/>
        <v>0.90707070707070703</v>
      </c>
      <c r="O185" s="4">
        <f t="shared" ref="O185:O216" si="20">E185/(PI()*((K185/2000)^2))</f>
        <v>0.93534585471820952</v>
      </c>
      <c r="P185" s="4">
        <f t="shared" si="16"/>
        <v>0.95376400345110923</v>
      </c>
      <c r="Q185" s="14" t="s">
        <v>30</v>
      </c>
      <c r="R185" s="14" t="s">
        <v>48</v>
      </c>
      <c r="S185" s="14" t="s">
        <v>424</v>
      </c>
      <c r="V185" s="1" t="s">
        <v>34</v>
      </c>
      <c r="W185" s="1">
        <v>500</v>
      </c>
      <c r="X185" s="1">
        <v>80</v>
      </c>
      <c r="Y185" s="4">
        <f>X185/K185</f>
        <v>0.16161616161616163</v>
      </c>
      <c r="AA185" s="1" t="s">
        <v>324</v>
      </c>
      <c r="AB185" s="1" t="s">
        <v>65</v>
      </c>
      <c r="AC185" s="15">
        <v>270</v>
      </c>
      <c r="AD185" s="15">
        <v>1017203</v>
      </c>
      <c r="AE185" s="18" t="s">
        <v>425</v>
      </c>
    </row>
    <row r="186" spans="1:32">
      <c r="A186" s="1" t="s">
        <v>457</v>
      </c>
      <c r="C186" s="1">
        <v>263320</v>
      </c>
      <c r="D186" s="1" t="s">
        <v>27</v>
      </c>
      <c r="E186" s="1">
        <v>0.62</v>
      </c>
      <c r="F186" s="1">
        <v>2.92</v>
      </c>
      <c r="G186" s="11">
        <v>-7.9371906000000001</v>
      </c>
      <c r="H186" s="19">
        <v>113.3148705</v>
      </c>
      <c r="I186" s="1" t="s">
        <v>379</v>
      </c>
      <c r="J186" s="1" t="s">
        <v>86</v>
      </c>
      <c r="K186" s="1">
        <v>955</v>
      </c>
      <c r="L186" s="1">
        <v>906</v>
      </c>
      <c r="M186" s="1">
        <f t="shared" si="19"/>
        <v>930.5</v>
      </c>
      <c r="N186" s="4">
        <f t="shared" si="15"/>
        <v>0.94869109947643981</v>
      </c>
      <c r="O186" s="4">
        <f t="shared" si="20"/>
        <v>0.86555578820295598</v>
      </c>
      <c r="P186" s="4">
        <f t="shared" si="16"/>
        <v>0.91376780128808011</v>
      </c>
      <c r="Q186" s="14" t="s">
        <v>30</v>
      </c>
      <c r="R186" s="14" t="s">
        <v>48</v>
      </c>
      <c r="S186" s="14" t="s">
        <v>424</v>
      </c>
      <c r="V186" s="1" t="s">
        <v>34</v>
      </c>
      <c r="W186" s="1">
        <v>400</v>
      </c>
      <c r="X186" s="1">
        <v>120</v>
      </c>
      <c r="Y186" s="4">
        <f>X186/K186</f>
        <v>0.1256544502617801</v>
      </c>
      <c r="AA186" s="1" t="s">
        <v>324</v>
      </c>
      <c r="AB186" s="1" t="s">
        <v>65</v>
      </c>
      <c r="AC186" s="15">
        <v>6588</v>
      </c>
      <c r="AD186" s="15">
        <v>15322387</v>
      </c>
      <c r="AE186" s="18" t="s">
        <v>425</v>
      </c>
    </row>
    <row r="187" spans="1:32">
      <c r="A187" s="1" t="s">
        <v>1012</v>
      </c>
      <c r="C187" s="1">
        <v>263320</v>
      </c>
      <c r="D187" s="1" t="s">
        <v>27</v>
      </c>
      <c r="E187" s="1">
        <v>0.27</v>
      </c>
      <c r="F187" s="1">
        <v>1.96</v>
      </c>
      <c r="G187" s="11">
        <v>-7.9442443000000003</v>
      </c>
      <c r="H187" s="19">
        <v>113.3453112</v>
      </c>
      <c r="I187" s="1" t="s">
        <v>379</v>
      </c>
      <c r="J187" s="1" t="s">
        <v>423</v>
      </c>
      <c r="K187" s="1">
        <v>713</v>
      </c>
      <c r="L187" s="1">
        <v>550</v>
      </c>
      <c r="M187" s="1">
        <f t="shared" si="19"/>
        <v>631.5</v>
      </c>
      <c r="N187" s="4">
        <f t="shared" si="15"/>
        <v>0.77138849929873776</v>
      </c>
      <c r="O187" s="4">
        <f t="shared" si="20"/>
        <v>0.67623060626925324</v>
      </c>
      <c r="P187" s="4">
        <f t="shared" si="16"/>
        <v>0.88320493176722625</v>
      </c>
      <c r="Q187" s="14" t="s">
        <v>30</v>
      </c>
      <c r="R187" s="14" t="s">
        <v>48</v>
      </c>
      <c r="S187" s="14" t="s">
        <v>424</v>
      </c>
      <c r="V187" s="1" t="s">
        <v>34</v>
      </c>
      <c r="W187" s="1">
        <v>600</v>
      </c>
      <c r="X187" s="1">
        <v>40</v>
      </c>
      <c r="Y187" s="4">
        <f>X187/K187</f>
        <v>5.6100981767180924E-2</v>
      </c>
      <c r="AA187" s="1" t="s">
        <v>324</v>
      </c>
      <c r="AB187" s="1" t="s">
        <v>65</v>
      </c>
      <c r="AC187" s="15">
        <v>6588</v>
      </c>
      <c r="AD187" s="15">
        <v>15322387</v>
      </c>
      <c r="AE187" s="18" t="s">
        <v>425</v>
      </c>
    </row>
    <row r="188" spans="1:32">
      <c r="A188" s="1" t="s">
        <v>453</v>
      </c>
      <c r="C188" s="1">
        <v>263320</v>
      </c>
      <c r="D188" s="1" t="s">
        <v>27</v>
      </c>
      <c r="E188" s="1">
        <v>0.46</v>
      </c>
      <c r="F188" s="1">
        <v>2.5099999999999998</v>
      </c>
      <c r="G188" s="11">
        <v>-7.9458573000000001</v>
      </c>
      <c r="H188" s="19">
        <v>113.32284679999999</v>
      </c>
      <c r="I188" s="1" t="s">
        <v>379</v>
      </c>
      <c r="J188" s="1" t="s">
        <v>86</v>
      </c>
      <c r="K188" s="1">
        <v>868</v>
      </c>
      <c r="L188" s="1">
        <v>753</v>
      </c>
      <c r="M188" s="1">
        <f t="shared" si="19"/>
        <v>810.5</v>
      </c>
      <c r="N188" s="4">
        <f t="shared" si="15"/>
        <v>0.86751152073732718</v>
      </c>
      <c r="O188" s="4">
        <f t="shared" si="20"/>
        <v>0.77737129501870783</v>
      </c>
      <c r="P188" s="4">
        <f t="shared" si="16"/>
        <v>0.91752995708087504</v>
      </c>
      <c r="Q188" s="14" t="s">
        <v>30</v>
      </c>
      <c r="R188" s="14" t="s">
        <v>48</v>
      </c>
      <c r="S188" s="14" t="s">
        <v>424</v>
      </c>
      <c r="V188" s="1" t="s">
        <v>34</v>
      </c>
      <c r="W188" s="1">
        <v>400</v>
      </c>
      <c r="X188" s="1">
        <v>240</v>
      </c>
      <c r="Y188" s="4">
        <f>X188/K188</f>
        <v>0.27649769585253459</v>
      </c>
      <c r="AA188" s="1" t="s">
        <v>324</v>
      </c>
      <c r="AB188" s="1" t="s">
        <v>65</v>
      </c>
      <c r="AC188" s="15">
        <v>6588</v>
      </c>
      <c r="AD188" s="15">
        <v>15322387</v>
      </c>
      <c r="AE188" s="18" t="s">
        <v>425</v>
      </c>
    </row>
    <row r="189" spans="1:32">
      <c r="A189" s="1" t="s">
        <v>426</v>
      </c>
      <c r="C189" s="1">
        <v>263320</v>
      </c>
      <c r="D189" s="1" t="s">
        <v>27</v>
      </c>
      <c r="E189" s="1">
        <v>0.97</v>
      </c>
      <c r="F189" s="1">
        <v>3.98</v>
      </c>
      <c r="G189" s="11">
        <v>-7.9500533999999998</v>
      </c>
      <c r="H189" s="19">
        <v>113.2702606</v>
      </c>
      <c r="I189" s="1" t="s">
        <v>379</v>
      </c>
      <c r="J189" s="1" t="s">
        <v>94</v>
      </c>
      <c r="K189" s="1">
        <v>1406</v>
      </c>
      <c r="L189" s="1">
        <v>1016</v>
      </c>
      <c r="M189" s="1">
        <f t="shared" si="19"/>
        <v>1211</v>
      </c>
      <c r="N189" s="4">
        <f t="shared" si="15"/>
        <v>0.72261735419630158</v>
      </c>
      <c r="O189" s="4">
        <f t="shared" si="20"/>
        <v>0.62475711611540252</v>
      </c>
      <c r="P189" s="4">
        <f t="shared" si="16"/>
        <v>0.76951210171008277</v>
      </c>
      <c r="Q189" s="14" t="s">
        <v>30</v>
      </c>
      <c r="R189" s="14" t="s">
        <v>48</v>
      </c>
      <c r="S189" s="14" t="s">
        <v>424</v>
      </c>
      <c r="V189" s="1" t="s">
        <v>34</v>
      </c>
      <c r="W189" s="1">
        <v>200</v>
      </c>
      <c r="AA189" s="1" t="s">
        <v>324</v>
      </c>
      <c r="AB189" s="1" t="s">
        <v>48</v>
      </c>
      <c r="AC189" s="15">
        <v>6588</v>
      </c>
      <c r="AD189" s="15">
        <v>15322387</v>
      </c>
      <c r="AE189" s="18" t="s">
        <v>425</v>
      </c>
    </row>
    <row r="190" spans="1:32">
      <c r="A190" s="33" t="s">
        <v>512</v>
      </c>
      <c r="C190" s="1">
        <v>263320</v>
      </c>
      <c r="D190" s="1" t="s">
        <v>27</v>
      </c>
      <c r="E190" s="1">
        <v>0.65</v>
      </c>
      <c r="F190" s="1">
        <v>2.94</v>
      </c>
      <c r="G190" s="11">
        <v>-7.9512387000000002</v>
      </c>
      <c r="H190" s="19">
        <v>113.36393529999999</v>
      </c>
      <c r="I190" s="1" t="s">
        <v>379</v>
      </c>
      <c r="J190" s="1" t="s">
        <v>94</v>
      </c>
      <c r="K190" s="1">
        <v>1029</v>
      </c>
      <c r="L190" s="1">
        <v>850</v>
      </c>
      <c r="M190" s="1">
        <f t="shared" si="19"/>
        <v>939.5</v>
      </c>
      <c r="N190" s="4">
        <f t="shared" si="15"/>
        <v>0.82604470359572402</v>
      </c>
      <c r="O190" s="4">
        <f t="shared" si="20"/>
        <v>0.78161471276410321</v>
      </c>
      <c r="P190" s="4">
        <f t="shared" si="16"/>
        <v>0.94499293110896654</v>
      </c>
      <c r="Q190" s="14" t="s">
        <v>30</v>
      </c>
      <c r="R190" s="14" t="s">
        <v>48</v>
      </c>
      <c r="S190" s="14" t="s">
        <v>424</v>
      </c>
      <c r="V190" s="1" t="s">
        <v>34</v>
      </c>
      <c r="W190" s="1">
        <v>600</v>
      </c>
      <c r="X190" s="1">
        <v>120</v>
      </c>
      <c r="Y190" s="4">
        <f>X190/K190</f>
        <v>0.11661807580174927</v>
      </c>
      <c r="AA190" s="1" t="s">
        <v>324</v>
      </c>
      <c r="AB190" s="1" t="s">
        <v>48</v>
      </c>
      <c r="AC190" s="15">
        <v>2584</v>
      </c>
      <c r="AD190" s="15">
        <v>25385433</v>
      </c>
      <c r="AE190" s="18" t="s">
        <v>425</v>
      </c>
    </row>
    <row r="191" spans="1:32">
      <c r="A191" s="24" t="s">
        <v>507</v>
      </c>
      <c r="C191" s="1">
        <v>263320</v>
      </c>
      <c r="D191" s="1" t="s">
        <v>27</v>
      </c>
      <c r="E191" s="1">
        <v>0.09</v>
      </c>
      <c r="F191" s="1">
        <v>1.1000000000000001</v>
      </c>
      <c r="G191" s="11">
        <v>-7.9518180000000003</v>
      </c>
      <c r="H191" s="19">
        <v>113.36915689999999</v>
      </c>
      <c r="I191" s="1" t="s">
        <v>379</v>
      </c>
      <c r="J191" s="1" t="s">
        <v>423</v>
      </c>
      <c r="K191" s="1">
        <v>377</v>
      </c>
      <c r="L191" s="1">
        <v>320</v>
      </c>
      <c r="M191" s="1">
        <f t="shared" si="19"/>
        <v>348.5</v>
      </c>
      <c r="N191" s="4">
        <f t="shared" si="15"/>
        <v>0.8488063660477454</v>
      </c>
      <c r="O191" s="4">
        <f t="shared" si="20"/>
        <v>0.80625037132580013</v>
      </c>
      <c r="P191" s="4">
        <f t="shared" si="16"/>
        <v>0.93468872338208708</v>
      </c>
      <c r="Q191" s="14" t="s">
        <v>30</v>
      </c>
      <c r="R191" s="14" t="s">
        <v>48</v>
      </c>
      <c r="S191" s="14" t="s">
        <v>424</v>
      </c>
      <c r="V191" s="1" t="s">
        <v>34</v>
      </c>
      <c r="W191" s="1">
        <v>600</v>
      </c>
      <c r="X191" s="1">
        <v>40</v>
      </c>
      <c r="Y191" s="4">
        <f>X191/K191</f>
        <v>0.10610079575596817</v>
      </c>
      <c r="AA191" s="1" t="s">
        <v>324</v>
      </c>
      <c r="AB191" s="1" t="s">
        <v>65</v>
      </c>
      <c r="AC191" s="15">
        <v>6588</v>
      </c>
      <c r="AD191" s="15">
        <v>15322387</v>
      </c>
      <c r="AE191" s="18" t="s">
        <v>425</v>
      </c>
    </row>
    <row r="192" spans="1:32">
      <c r="A192" s="24" t="s">
        <v>1192</v>
      </c>
      <c r="C192" s="1">
        <v>263320</v>
      </c>
      <c r="D192" s="1" t="s">
        <v>27</v>
      </c>
      <c r="E192" s="1">
        <v>0.2</v>
      </c>
      <c r="F192" s="1">
        <v>1.8</v>
      </c>
      <c r="G192" s="11">
        <v>-7.9552601999999997</v>
      </c>
      <c r="H192" s="19">
        <v>113.3732622</v>
      </c>
      <c r="I192" s="1" t="s">
        <v>379</v>
      </c>
      <c r="J192" s="1" t="s">
        <v>423</v>
      </c>
      <c r="K192" s="1">
        <v>662</v>
      </c>
      <c r="L192" s="1">
        <v>377</v>
      </c>
      <c r="M192" s="1">
        <f t="shared" si="19"/>
        <v>519.5</v>
      </c>
      <c r="N192" s="4">
        <f t="shared" si="15"/>
        <v>0.56948640483383683</v>
      </c>
      <c r="O192" s="4">
        <f t="shared" si="20"/>
        <v>0.58106422209324604</v>
      </c>
      <c r="P192" s="4">
        <f t="shared" si="16"/>
        <v>0.77570188977525767</v>
      </c>
      <c r="Q192" s="14" t="s">
        <v>30</v>
      </c>
      <c r="R192" s="14" t="s">
        <v>48</v>
      </c>
      <c r="S192" s="14" t="s">
        <v>424</v>
      </c>
      <c r="V192" s="1" t="s">
        <v>34</v>
      </c>
      <c r="W192" s="1">
        <v>600</v>
      </c>
      <c r="X192" s="1">
        <v>80</v>
      </c>
      <c r="Y192" s="4">
        <f>X192/K192</f>
        <v>0.12084592145015106</v>
      </c>
      <c r="AA192" s="1" t="s">
        <v>324</v>
      </c>
      <c r="AB192" s="1" t="s">
        <v>65</v>
      </c>
      <c r="AC192" s="15">
        <v>6588</v>
      </c>
      <c r="AD192" s="15">
        <v>15322387</v>
      </c>
      <c r="AE192" s="18" t="s">
        <v>425</v>
      </c>
      <c r="AF192" s="1" t="s">
        <v>1193</v>
      </c>
    </row>
    <row r="193" spans="1:32" ht="14.25" customHeight="1">
      <c r="A193" s="24" t="s">
        <v>1002</v>
      </c>
      <c r="C193" s="1">
        <v>263320</v>
      </c>
      <c r="D193" s="1" t="s">
        <v>27</v>
      </c>
      <c r="E193" s="1">
        <v>0.47</v>
      </c>
      <c r="F193" s="1">
        <v>2.5299999999999998</v>
      </c>
      <c r="G193" s="11">
        <v>-7.9776404999999997</v>
      </c>
      <c r="H193" s="19">
        <v>113.3899643</v>
      </c>
      <c r="I193" s="1" t="s">
        <v>379</v>
      </c>
      <c r="J193" s="1" t="s">
        <v>423</v>
      </c>
      <c r="K193" s="1">
        <v>850</v>
      </c>
      <c r="L193" s="1">
        <v>660</v>
      </c>
      <c r="M193" s="1">
        <f t="shared" si="19"/>
        <v>755</v>
      </c>
      <c r="N193" s="4">
        <f t="shared" si="15"/>
        <v>0.77647058823529413</v>
      </c>
      <c r="O193" s="4">
        <f t="shared" si="20"/>
        <v>0.82826655505263191</v>
      </c>
      <c r="P193" s="4">
        <f t="shared" si="16"/>
        <v>0.92271308546435837</v>
      </c>
      <c r="Q193" s="14" t="s">
        <v>30</v>
      </c>
      <c r="R193" s="14" t="s">
        <v>48</v>
      </c>
      <c r="S193" s="14" t="s">
        <v>424</v>
      </c>
      <c r="V193" s="1" t="s">
        <v>34</v>
      </c>
      <c r="W193" s="1">
        <v>600</v>
      </c>
      <c r="X193" s="1">
        <v>120</v>
      </c>
      <c r="Y193" s="4">
        <f>X193/K193</f>
        <v>0.14117647058823529</v>
      </c>
      <c r="AA193" s="1" t="s">
        <v>324</v>
      </c>
      <c r="AB193" s="1" t="s">
        <v>65</v>
      </c>
      <c r="AC193" s="15">
        <v>6588</v>
      </c>
      <c r="AD193" s="15">
        <v>15322387</v>
      </c>
      <c r="AE193" s="18" t="s">
        <v>425</v>
      </c>
    </row>
    <row r="194" spans="1:32" ht="14.25" customHeight="1">
      <c r="A194" s="24" t="s">
        <v>511</v>
      </c>
      <c r="C194" s="1">
        <v>263320</v>
      </c>
      <c r="D194" s="1" t="s">
        <v>27</v>
      </c>
      <c r="E194" s="1">
        <v>0.37</v>
      </c>
      <c r="F194" s="1">
        <v>2.23</v>
      </c>
      <c r="G194" s="11">
        <v>-7.9815886000000003</v>
      </c>
      <c r="H194" s="19">
        <v>113.4170384</v>
      </c>
      <c r="I194" s="1" t="s">
        <v>379</v>
      </c>
      <c r="J194" s="1" t="s">
        <v>423</v>
      </c>
      <c r="K194" s="1">
        <v>785</v>
      </c>
      <c r="L194" s="1">
        <v>583</v>
      </c>
      <c r="M194" s="1">
        <f t="shared" si="19"/>
        <v>684</v>
      </c>
      <c r="N194" s="4">
        <f t="shared" ref="N194:N254" si="21">L194/K194</f>
        <v>0.74267515923566874</v>
      </c>
      <c r="O194" s="4">
        <f t="shared" si="20"/>
        <v>0.7644912678843121</v>
      </c>
      <c r="P194" s="4">
        <f t="shared" ref="P194:P229" si="22">E194/(((F194/(2*PI()))^2)*PI())</f>
        <v>0.93497901170602538</v>
      </c>
      <c r="Q194" s="14" t="s">
        <v>30</v>
      </c>
      <c r="R194" s="14" t="s">
        <v>48</v>
      </c>
      <c r="S194" s="14" t="s">
        <v>424</v>
      </c>
      <c r="V194" s="1" t="s">
        <v>34</v>
      </c>
      <c r="W194" s="1">
        <v>600</v>
      </c>
      <c r="X194" s="1">
        <v>120</v>
      </c>
      <c r="Y194" s="4">
        <f>X194/K194</f>
        <v>0.15286624203821655</v>
      </c>
      <c r="AA194" s="1" t="s">
        <v>324</v>
      </c>
      <c r="AB194" s="1" t="s">
        <v>65</v>
      </c>
      <c r="AC194" s="15">
        <v>6588</v>
      </c>
      <c r="AD194" s="15">
        <v>15322387</v>
      </c>
      <c r="AE194" s="18" t="s">
        <v>425</v>
      </c>
      <c r="AF194" s="1" t="s">
        <v>1193</v>
      </c>
    </row>
    <row r="195" spans="1:32" ht="14.25" customHeight="1">
      <c r="A195" s="1" t="s">
        <v>1001</v>
      </c>
      <c r="C195" s="1">
        <v>263320</v>
      </c>
      <c r="D195" s="1" t="s">
        <v>27</v>
      </c>
      <c r="E195" s="1">
        <v>0.42</v>
      </c>
      <c r="F195" s="1">
        <v>2.35</v>
      </c>
      <c r="G195" s="11">
        <v>-7.9857142999999997</v>
      </c>
      <c r="H195" s="19">
        <v>113.2716563</v>
      </c>
      <c r="I195" s="1" t="s">
        <v>379</v>
      </c>
      <c r="J195" s="1" t="s">
        <v>423</v>
      </c>
      <c r="K195" s="1">
        <v>761</v>
      </c>
      <c r="L195" s="1">
        <v>655</v>
      </c>
      <c r="M195" s="1">
        <f t="shared" si="19"/>
        <v>708</v>
      </c>
      <c r="N195" s="4">
        <f t="shared" si="21"/>
        <v>0.86070959264126146</v>
      </c>
      <c r="O195" s="4">
        <f t="shared" si="20"/>
        <v>0.92340047898240329</v>
      </c>
      <c r="P195" s="4">
        <f t="shared" si="22"/>
        <v>0.95570405758820309</v>
      </c>
      <c r="Q195" s="14" t="s">
        <v>30</v>
      </c>
      <c r="R195" s="14" t="s">
        <v>48</v>
      </c>
      <c r="S195" s="14" t="s">
        <v>424</v>
      </c>
      <c r="V195" s="1" t="s">
        <v>34</v>
      </c>
      <c r="W195" s="1">
        <v>300</v>
      </c>
      <c r="X195" s="1" t="s">
        <v>435</v>
      </c>
      <c r="Y195" s="4">
        <f>120/K195</f>
        <v>0.15768725361366623</v>
      </c>
      <c r="AA195" s="1" t="s">
        <v>324</v>
      </c>
      <c r="AB195" s="1" t="s">
        <v>65</v>
      </c>
      <c r="AC195" s="15">
        <v>6588</v>
      </c>
      <c r="AD195" s="15">
        <v>15322387</v>
      </c>
      <c r="AE195" s="18" t="s">
        <v>425</v>
      </c>
    </row>
    <row r="196" spans="1:32" ht="14.25" customHeight="1">
      <c r="A196" s="1" t="s">
        <v>508</v>
      </c>
      <c r="C196" s="1">
        <v>263320</v>
      </c>
      <c r="D196" s="1" t="s">
        <v>27</v>
      </c>
      <c r="E196" s="1">
        <v>0.14000000000000001</v>
      </c>
      <c r="F196" s="1">
        <v>1.35</v>
      </c>
      <c r="G196" s="11">
        <v>-7.9896146000000003</v>
      </c>
      <c r="H196" s="19">
        <v>113.3968091</v>
      </c>
      <c r="I196" s="1" t="s">
        <v>379</v>
      </c>
      <c r="J196" s="1" t="s">
        <v>423</v>
      </c>
      <c r="K196" s="1">
        <v>459</v>
      </c>
      <c r="L196" s="1">
        <v>414</v>
      </c>
      <c r="M196" s="1">
        <f t="shared" si="19"/>
        <v>436.5</v>
      </c>
      <c r="N196" s="4">
        <f t="shared" si="21"/>
        <v>0.90196078431372551</v>
      </c>
      <c r="O196" s="4">
        <f t="shared" si="20"/>
        <v>0.84608263803059036</v>
      </c>
      <c r="P196" s="4">
        <f t="shared" si="22"/>
        <v>0.96531790727587596</v>
      </c>
      <c r="Q196" s="14" t="s">
        <v>30</v>
      </c>
      <c r="R196" s="14" t="s">
        <v>48</v>
      </c>
      <c r="S196" s="14" t="s">
        <v>424</v>
      </c>
      <c r="V196" s="1" t="s">
        <v>34</v>
      </c>
      <c r="W196" s="1">
        <v>600</v>
      </c>
      <c r="X196" s="1" t="s">
        <v>448</v>
      </c>
      <c r="AA196" s="1" t="s">
        <v>324</v>
      </c>
      <c r="AB196" s="1" t="s">
        <v>65</v>
      </c>
      <c r="AC196" s="15">
        <v>6588</v>
      </c>
      <c r="AD196" s="15">
        <v>15322387</v>
      </c>
      <c r="AE196" s="18" t="s">
        <v>425</v>
      </c>
    </row>
    <row r="197" spans="1:32" ht="14.25" customHeight="1">
      <c r="A197" s="1" t="s">
        <v>509</v>
      </c>
      <c r="C197" s="1">
        <v>263320</v>
      </c>
      <c r="D197" s="1" t="s">
        <v>27</v>
      </c>
      <c r="E197" s="1">
        <v>0.28999999999999998</v>
      </c>
      <c r="F197" s="1">
        <v>1.95</v>
      </c>
      <c r="G197" s="11">
        <v>-7.9958184000000001</v>
      </c>
      <c r="H197" s="21">
        <v>113.4100586</v>
      </c>
      <c r="I197" s="1" t="s">
        <v>379</v>
      </c>
      <c r="J197" s="1" t="s">
        <v>423</v>
      </c>
      <c r="K197" s="1">
        <v>650</v>
      </c>
      <c r="L197" s="1">
        <v>580</v>
      </c>
      <c r="M197" s="1">
        <f t="shared" si="19"/>
        <v>615</v>
      </c>
      <c r="N197" s="4">
        <f t="shared" si="21"/>
        <v>0.89230769230769236</v>
      </c>
      <c r="O197" s="4">
        <f t="shared" si="20"/>
        <v>0.87393956916733051</v>
      </c>
      <c r="P197" s="4">
        <f t="shared" si="22"/>
        <v>0.95838197979333606</v>
      </c>
      <c r="Q197" s="14" t="s">
        <v>30</v>
      </c>
      <c r="R197" s="14" t="s">
        <v>48</v>
      </c>
      <c r="S197" s="14" t="s">
        <v>424</v>
      </c>
      <c r="V197" s="1" t="s">
        <v>34</v>
      </c>
      <c r="W197" s="1">
        <v>600</v>
      </c>
      <c r="X197" s="1" t="s">
        <v>448</v>
      </c>
      <c r="AA197" s="1" t="s">
        <v>324</v>
      </c>
      <c r="AB197" s="1" t="s">
        <v>65</v>
      </c>
      <c r="AC197" s="15">
        <v>6588</v>
      </c>
      <c r="AD197" s="15">
        <v>15322387</v>
      </c>
      <c r="AE197" s="18" t="s">
        <v>425</v>
      </c>
    </row>
    <row r="198" spans="1:32">
      <c r="A198" s="1" t="s">
        <v>436</v>
      </c>
      <c r="C198" s="1">
        <v>263320</v>
      </c>
      <c r="D198" s="1" t="s">
        <v>27</v>
      </c>
      <c r="E198" s="1">
        <v>0.61</v>
      </c>
      <c r="F198" s="1">
        <v>2.79</v>
      </c>
      <c r="G198" s="11">
        <v>-7.9978860999999997</v>
      </c>
      <c r="H198" s="19">
        <v>113.2694202</v>
      </c>
      <c r="I198" s="1" t="s">
        <v>379</v>
      </c>
      <c r="J198" s="1" t="s">
        <v>423</v>
      </c>
      <c r="K198" s="1">
        <v>955</v>
      </c>
      <c r="L198" s="1">
        <v>849</v>
      </c>
      <c r="M198" s="1">
        <f t="shared" si="19"/>
        <v>902</v>
      </c>
      <c r="N198" s="4">
        <f t="shared" si="21"/>
        <v>0.88900523560209421</v>
      </c>
      <c r="O198" s="4">
        <f t="shared" si="20"/>
        <v>0.85159521097387603</v>
      </c>
      <c r="P198" s="4">
        <f t="shared" si="22"/>
        <v>0.98476202448055594</v>
      </c>
      <c r="Q198" s="14" t="s">
        <v>30</v>
      </c>
      <c r="R198" s="14" t="s">
        <v>48</v>
      </c>
      <c r="S198" s="14" t="s">
        <v>424</v>
      </c>
      <c r="V198" s="1" t="s">
        <v>34</v>
      </c>
      <c r="W198" s="1">
        <v>300</v>
      </c>
      <c r="X198" s="1" t="s">
        <v>435</v>
      </c>
      <c r="Y198" s="4">
        <f>120/K198</f>
        <v>0.1256544502617801</v>
      </c>
      <c r="AA198" s="1" t="s">
        <v>324</v>
      </c>
      <c r="AB198" s="1" t="s">
        <v>65</v>
      </c>
      <c r="AC198" s="15">
        <v>6588</v>
      </c>
      <c r="AD198" s="15">
        <v>15322387</v>
      </c>
      <c r="AE198" s="18" t="s">
        <v>425</v>
      </c>
    </row>
    <row r="199" spans="1:32">
      <c r="A199" s="1" t="s">
        <v>452</v>
      </c>
      <c r="C199" s="1">
        <v>263320</v>
      </c>
      <c r="D199" s="1" t="s">
        <v>27</v>
      </c>
      <c r="E199" s="1">
        <v>0.13</v>
      </c>
      <c r="F199" s="1">
        <v>1.34</v>
      </c>
      <c r="G199" s="11">
        <v>-8.0078575999999995</v>
      </c>
      <c r="H199" s="19">
        <v>113.32375570000001</v>
      </c>
      <c r="I199" s="1" t="s">
        <v>379</v>
      </c>
      <c r="J199" s="1" t="s">
        <v>423</v>
      </c>
      <c r="K199" s="1">
        <v>516</v>
      </c>
      <c r="L199" s="1">
        <v>332</v>
      </c>
      <c r="M199" s="1">
        <f t="shared" si="19"/>
        <v>424</v>
      </c>
      <c r="N199" s="4">
        <f t="shared" si="21"/>
        <v>0.64341085271317833</v>
      </c>
      <c r="O199" s="4">
        <f t="shared" si="20"/>
        <v>0.62166163697934007</v>
      </c>
      <c r="P199" s="4">
        <f t="shared" si="22"/>
        <v>0.90979515474865924</v>
      </c>
      <c r="Q199" s="14" t="s">
        <v>30</v>
      </c>
      <c r="R199" s="14" t="s">
        <v>48</v>
      </c>
      <c r="S199" s="14" t="s">
        <v>424</v>
      </c>
      <c r="V199" s="1" t="s">
        <v>34</v>
      </c>
      <c r="W199" s="1">
        <v>400</v>
      </c>
      <c r="X199" s="1">
        <v>80</v>
      </c>
      <c r="Y199" s="4">
        <f>X199/K199</f>
        <v>0.15503875968992248</v>
      </c>
      <c r="AA199" s="1" t="s">
        <v>324</v>
      </c>
      <c r="AB199" s="1" t="s">
        <v>65</v>
      </c>
      <c r="AC199" s="15">
        <v>6588</v>
      </c>
      <c r="AD199" s="15">
        <v>15322387</v>
      </c>
      <c r="AE199" s="18" t="s">
        <v>425</v>
      </c>
    </row>
    <row r="200" spans="1:32">
      <c r="A200" s="1" t="s">
        <v>430</v>
      </c>
      <c r="C200" s="1">
        <v>263320</v>
      </c>
      <c r="D200" s="1" t="s">
        <v>27</v>
      </c>
      <c r="E200" s="1">
        <v>0.09</v>
      </c>
      <c r="F200" s="1">
        <v>1.1000000000000001</v>
      </c>
      <c r="G200" s="11">
        <v>-8.0086904000000008</v>
      </c>
      <c r="H200" s="19">
        <v>113.31275599999999</v>
      </c>
      <c r="I200" s="1" t="s">
        <v>379</v>
      </c>
      <c r="J200" s="1" t="s">
        <v>423</v>
      </c>
      <c r="K200" s="1">
        <v>406</v>
      </c>
      <c r="L200" s="1">
        <v>297</v>
      </c>
      <c r="M200" s="1">
        <f t="shared" si="19"/>
        <v>351.5</v>
      </c>
      <c r="N200" s="4">
        <f t="shared" si="21"/>
        <v>0.73152709359605916</v>
      </c>
      <c r="O200" s="4">
        <f t="shared" si="20"/>
        <v>0.69518526915336842</v>
      </c>
      <c r="P200" s="4">
        <f t="shared" si="22"/>
        <v>0.93468872338208708</v>
      </c>
      <c r="Q200" s="14" t="s">
        <v>30</v>
      </c>
      <c r="R200" s="14" t="s">
        <v>48</v>
      </c>
      <c r="S200" s="14" t="s">
        <v>424</v>
      </c>
      <c r="V200" s="1" t="s">
        <v>34</v>
      </c>
      <c r="W200" s="1">
        <v>300</v>
      </c>
      <c r="X200" s="1">
        <v>40</v>
      </c>
      <c r="Y200" s="4">
        <f>X200/K200</f>
        <v>9.8522167487684734E-2</v>
      </c>
      <c r="AA200" s="1" t="s">
        <v>324</v>
      </c>
      <c r="AB200" s="1" t="s">
        <v>65</v>
      </c>
      <c r="AC200" s="15">
        <v>6588</v>
      </c>
      <c r="AD200" s="15">
        <v>15322387</v>
      </c>
      <c r="AE200" s="18" t="s">
        <v>425</v>
      </c>
    </row>
    <row r="201" spans="1:32">
      <c r="A201" s="1" t="s">
        <v>649</v>
      </c>
      <c r="C201" s="1">
        <v>263320</v>
      </c>
      <c r="D201" s="1" t="s">
        <v>27</v>
      </c>
      <c r="E201" s="1">
        <v>0.15</v>
      </c>
      <c r="F201" s="1">
        <v>1.39</v>
      </c>
      <c r="G201" s="11">
        <v>-8.0188222000000007</v>
      </c>
      <c r="H201" s="21">
        <v>113.29629420000001</v>
      </c>
      <c r="I201" s="1" t="s">
        <v>379</v>
      </c>
      <c r="J201" s="1" t="s">
        <v>423</v>
      </c>
      <c r="K201" s="1">
        <v>462</v>
      </c>
      <c r="L201" s="1">
        <v>433</v>
      </c>
      <c r="M201" s="1">
        <f t="shared" si="19"/>
        <v>447.5</v>
      </c>
      <c r="N201" s="4">
        <f t="shared" si="21"/>
        <v>0.93722943722943719</v>
      </c>
      <c r="O201" s="4">
        <f t="shared" si="20"/>
        <v>0.8947823865288993</v>
      </c>
      <c r="P201" s="4">
        <f t="shared" si="22"/>
        <v>0.97559939555606645</v>
      </c>
      <c r="Q201" s="14" t="s">
        <v>30</v>
      </c>
      <c r="R201" s="14" t="s">
        <v>48</v>
      </c>
      <c r="S201" s="14" t="s">
        <v>424</v>
      </c>
      <c r="V201" s="1" t="s">
        <v>34</v>
      </c>
      <c r="Y201" s="4"/>
      <c r="AA201" s="1" t="s">
        <v>324</v>
      </c>
      <c r="AB201" s="1" t="s">
        <v>65</v>
      </c>
      <c r="AC201" s="15">
        <v>1098</v>
      </c>
      <c r="AD201" s="15">
        <v>6846855</v>
      </c>
      <c r="AE201" s="18" t="s">
        <v>425</v>
      </c>
    </row>
    <row r="202" spans="1:32">
      <c r="A202" s="1" t="s">
        <v>422</v>
      </c>
      <c r="C202" s="1">
        <v>263320</v>
      </c>
      <c r="D202" s="1" t="s">
        <v>27</v>
      </c>
      <c r="E202" s="1">
        <v>0.15</v>
      </c>
      <c r="F202" s="1">
        <v>1.4</v>
      </c>
      <c r="G202" s="11">
        <v>-8.0420358000000007</v>
      </c>
      <c r="H202" s="19">
        <v>113.3072555</v>
      </c>
      <c r="I202" s="1" t="s">
        <v>379</v>
      </c>
      <c r="J202" s="1" t="s">
        <v>423</v>
      </c>
      <c r="K202" s="1">
        <v>472</v>
      </c>
      <c r="L202" s="1">
        <v>432</v>
      </c>
      <c r="M202" s="1">
        <f t="shared" si="19"/>
        <v>452</v>
      </c>
      <c r="N202" s="4">
        <f t="shared" si="21"/>
        <v>0.9152542372881356</v>
      </c>
      <c r="O202" s="4">
        <f t="shared" si="20"/>
        <v>0.85726951536140128</v>
      </c>
      <c r="P202" s="4">
        <f t="shared" si="22"/>
        <v>0.96171203681320205</v>
      </c>
      <c r="Q202" s="14" t="s">
        <v>30</v>
      </c>
      <c r="R202" s="14" t="s">
        <v>48</v>
      </c>
      <c r="S202" s="14" t="s">
        <v>424</v>
      </c>
      <c r="V202" s="1" t="s">
        <v>34</v>
      </c>
      <c r="W202" s="1">
        <v>200</v>
      </c>
      <c r="X202" s="1">
        <v>50</v>
      </c>
      <c r="Y202" s="4">
        <f>X202/K202</f>
        <v>0.1059322033898305</v>
      </c>
      <c r="AA202" s="1" t="s">
        <v>324</v>
      </c>
      <c r="AB202" s="1" t="s">
        <v>65</v>
      </c>
      <c r="AC202" s="15">
        <v>6588</v>
      </c>
      <c r="AD202" s="15">
        <v>15322387</v>
      </c>
      <c r="AE202" s="18" t="s">
        <v>425</v>
      </c>
    </row>
    <row r="203" spans="1:32">
      <c r="A203" s="1" t="s">
        <v>864</v>
      </c>
      <c r="B203" s="1" t="s">
        <v>1021</v>
      </c>
      <c r="C203" s="9">
        <v>222166</v>
      </c>
      <c r="D203" s="1" t="s">
        <v>27</v>
      </c>
      <c r="E203" s="1">
        <v>0.25</v>
      </c>
      <c r="F203" s="1">
        <v>1.82</v>
      </c>
      <c r="G203" s="38">
        <v>-9.3629651000000003</v>
      </c>
      <c r="H203" s="38">
        <v>33.794199999999996</v>
      </c>
      <c r="I203" s="1" t="s">
        <v>149</v>
      </c>
      <c r="J203" s="1" t="s">
        <v>865</v>
      </c>
      <c r="K203" s="1">
        <v>632</v>
      </c>
      <c r="L203" s="1">
        <v>550</v>
      </c>
      <c r="M203" s="1">
        <f t="shared" si="19"/>
        <v>591</v>
      </c>
      <c r="N203" s="4">
        <f t="shared" si="21"/>
        <v>0.870253164556962</v>
      </c>
      <c r="O203" s="4">
        <f t="shared" si="20"/>
        <v>0.7969222835477856</v>
      </c>
      <c r="P203" s="4">
        <f t="shared" si="22"/>
        <v>0.94843396135424252</v>
      </c>
      <c r="Q203" s="14" t="s">
        <v>30</v>
      </c>
      <c r="R203" s="14" t="s">
        <v>48</v>
      </c>
      <c r="S203" s="14" t="s">
        <v>540</v>
      </c>
      <c r="V203" s="1" t="s">
        <v>152</v>
      </c>
      <c r="Y203" s="4"/>
      <c r="AB203" s="1" t="s">
        <v>65</v>
      </c>
      <c r="AC203" s="15">
        <v>644</v>
      </c>
      <c r="AD203" s="15">
        <v>2299914</v>
      </c>
      <c r="AE203" s="18" t="s">
        <v>1022</v>
      </c>
    </row>
    <row r="204" spans="1:32">
      <c r="A204" s="9" t="s">
        <v>539</v>
      </c>
      <c r="B204" s="9"/>
      <c r="C204" s="9">
        <v>222166</v>
      </c>
      <c r="D204" s="9" t="s">
        <v>27</v>
      </c>
      <c r="E204" s="10">
        <v>0.54</v>
      </c>
      <c r="F204" s="10">
        <v>2.64</v>
      </c>
      <c r="G204" s="9">
        <v>-9.3332713999999992</v>
      </c>
      <c r="H204" s="9">
        <v>33.755392100000002</v>
      </c>
      <c r="I204" s="9" t="s">
        <v>149</v>
      </c>
      <c r="J204" s="1" t="s">
        <v>178</v>
      </c>
      <c r="K204" s="13">
        <v>863</v>
      </c>
      <c r="L204" s="1">
        <v>786</v>
      </c>
      <c r="M204" s="1">
        <v>603.5</v>
      </c>
      <c r="N204" s="4">
        <f t="shared" si="21"/>
        <v>0.91077636152954811</v>
      </c>
      <c r="O204" s="4">
        <f t="shared" si="20"/>
        <v>0.9231712841928007</v>
      </c>
      <c r="P204" s="4">
        <f t="shared" si="22"/>
        <v>0.97363408685634101</v>
      </c>
      <c r="Q204" s="14" t="s">
        <v>30</v>
      </c>
      <c r="R204" s="14" t="s">
        <v>48</v>
      </c>
      <c r="S204" s="14" t="s">
        <v>540</v>
      </c>
      <c r="V204" s="1" t="s">
        <v>152</v>
      </c>
      <c r="W204" s="1">
        <v>800</v>
      </c>
      <c r="X204" s="1" t="s">
        <v>541</v>
      </c>
      <c r="Y204" s="4"/>
      <c r="Z204" s="1">
        <v>50000</v>
      </c>
      <c r="AB204" s="1" t="s">
        <v>65</v>
      </c>
      <c r="AC204" s="15">
        <v>644</v>
      </c>
      <c r="AD204" s="15">
        <v>2299914</v>
      </c>
      <c r="AE204" s="18" t="s">
        <v>943</v>
      </c>
    </row>
    <row r="205" spans="1:32">
      <c r="A205" s="20" t="s">
        <v>643</v>
      </c>
      <c r="B205" s="20"/>
      <c r="C205" s="20">
        <v>355035</v>
      </c>
      <c r="D205" s="1" t="s">
        <v>27</v>
      </c>
      <c r="E205" s="1">
        <v>0.92</v>
      </c>
      <c r="F205" s="1">
        <v>3.49</v>
      </c>
      <c r="G205" s="11">
        <v>-19.4638442</v>
      </c>
      <c r="H205" s="19">
        <v>-67.431413199999994</v>
      </c>
      <c r="I205" s="1" t="s">
        <v>640</v>
      </c>
      <c r="J205" s="1" t="s">
        <v>29</v>
      </c>
      <c r="K205" s="1">
        <v>1199</v>
      </c>
      <c r="L205" s="1">
        <v>1038</v>
      </c>
      <c r="M205" s="1">
        <f t="shared" ref="M205:M268" si="23">AVERAGE(K205:L205)</f>
        <v>1118.5</v>
      </c>
      <c r="N205" s="4">
        <f t="shared" si="21"/>
        <v>0.86572143452877393</v>
      </c>
      <c r="O205" s="4">
        <f t="shared" si="20"/>
        <v>0.81481605894566689</v>
      </c>
      <c r="P205" s="4">
        <f t="shared" si="22"/>
        <v>0.94917619438349754</v>
      </c>
      <c r="Q205" s="1" t="s">
        <v>47</v>
      </c>
      <c r="R205" s="1" t="s">
        <v>31</v>
      </c>
      <c r="S205" s="1" t="s">
        <v>641</v>
      </c>
      <c r="V205" s="1" t="s">
        <v>34</v>
      </c>
      <c r="W205" s="1">
        <v>3560</v>
      </c>
      <c r="Z205" s="1" t="s">
        <v>110</v>
      </c>
      <c r="AA205" s="1" t="s">
        <v>203</v>
      </c>
      <c r="AB205" s="1" t="s">
        <v>65</v>
      </c>
      <c r="AC205" s="15">
        <v>176</v>
      </c>
      <c r="AD205" s="15">
        <v>70825</v>
      </c>
      <c r="AE205" s="1" t="s">
        <v>644</v>
      </c>
    </row>
    <row r="206" spans="1:32">
      <c r="A206" s="20" t="s">
        <v>639</v>
      </c>
      <c r="B206" s="20"/>
      <c r="C206" s="20">
        <v>355035</v>
      </c>
      <c r="D206" s="20" t="s">
        <v>27</v>
      </c>
      <c r="E206" s="20">
        <v>0.13</v>
      </c>
      <c r="F206" s="20">
        <v>1.3</v>
      </c>
      <c r="G206" s="20">
        <v>-19.496260899999999</v>
      </c>
      <c r="H206" s="20">
        <v>-67.449144799999999</v>
      </c>
      <c r="I206" s="20" t="s">
        <v>640</v>
      </c>
      <c r="J206" s="1" t="s">
        <v>29</v>
      </c>
      <c r="K206" s="20">
        <v>410</v>
      </c>
      <c r="L206" s="20">
        <v>405</v>
      </c>
      <c r="M206" s="20">
        <f t="shared" si="23"/>
        <v>407.5</v>
      </c>
      <c r="N206" s="39">
        <f t="shared" si="21"/>
        <v>0.98780487804878048</v>
      </c>
      <c r="O206" s="4">
        <f t="shared" si="20"/>
        <v>0.98465877939066748</v>
      </c>
      <c r="P206" s="39">
        <f t="shared" si="22"/>
        <v>0.96664389341224399</v>
      </c>
      <c r="Q206" s="20" t="s">
        <v>47</v>
      </c>
      <c r="R206" s="20" t="s">
        <v>31</v>
      </c>
      <c r="S206" s="20" t="s">
        <v>641</v>
      </c>
      <c r="T206" s="20"/>
      <c r="U206" s="20"/>
      <c r="V206" s="20" t="s">
        <v>34</v>
      </c>
      <c r="W206" s="20">
        <v>3560</v>
      </c>
      <c r="X206" s="20"/>
      <c r="Y206" s="20"/>
      <c r="Z206" s="20" t="s">
        <v>110</v>
      </c>
      <c r="AA206" s="20" t="s">
        <v>203</v>
      </c>
      <c r="AB206" s="1" t="s">
        <v>65</v>
      </c>
      <c r="AC206" s="15">
        <v>176</v>
      </c>
      <c r="AD206" s="15">
        <v>70825</v>
      </c>
      <c r="AE206" s="20" t="s">
        <v>642</v>
      </c>
    </row>
    <row r="207" spans="1:32">
      <c r="A207" s="20" t="s">
        <v>38</v>
      </c>
      <c r="B207" s="20"/>
      <c r="C207" s="20">
        <v>355097</v>
      </c>
      <c r="D207" s="1" t="s">
        <v>27</v>
      </c>
      <c r="E207" s="1">
        <v>0.22</v>
      </c>
      <c r="F207" s="1">
        <v>1.71</v>
      </c>
      <c r="G207" s="11">
        <v>-23.517453100000001</v>
      </c>
      <c r="H207" s="19">
        <v>-67.661996000000002</v>
      </c>
      <c r="I207" s="1" t="s">
        <v>39</v>
      </c>
      <c r="J207" s="1" t="s">
        <v>29</v>
      </c>
      <c r="K207" s="1">
        <v>554</v>
      </c>
      <c r="L207" s="1">
        <v>503</v>
      </c>
      <c r="M207" s="1">
        <f t="shared" si="23"/>
        <v>528.5</v>
      </c>
      <c r="N207" s="4">
        <f t="shared" si="21"/>
        <v>0.90794223826714804</v>
      </c>
      <c r="O207" s="4">
        <f t="shared" si="20"/>
        <v>0.91266893821676198</v>
      </c>
      <c r="P207" s="4">
        <f t="shared" si="22"/>
        <v>0.94545382687289015</v>
      </c>
      <c r="Q207" s="1" t="s">
        <v>30</v>
      </c>
      <c r="R207" s="1" t="s">
        <v>31</v>
      </c>
      <c r="S207" s="1" t="s">
        <v>40</v>
      </c>
      <c r="U207" s="1" t="s">
        <v>41</v>
      </c>
      <c r="V207" s="1" t="s">
        <v>34</v>
      </c>
      <c r="W207" s="1">
        <v>4555</v>
      </c>
      <c r="AA207" s="1" t="s">
        <v>42</v>
      </c>
      <c r="AB207" s="1" t="s">
        <v>65</v>
      </c>
      <c r="AC207" s="15">
        <v>5</v>
      </c>
      <c r="AD207" s="15">
        <v>7138</v>
      </c>
      <c r="AE207" s="18" t="s">
        <v>43</v>
      </c>
    </row>
    <row r="208" spans="1:32">
      <c r="A208" s="20" t="s">
        <v>638</v>
      </c>
      <c r="B208" s="20"/>
      <c r="C208" s="20">
        <v>355103</v>
      </c>
      <c r="D208" s="1" t="s">
        <v>27</v>
      </c>
      <c r="E208" s="1">
        <v>7.0000000000000007E-2</v>
      </c>
      <c r="F208" s="1">
        <v>0.98</v>
      </c>
      <c r="G208" s="11">
        <v>-23.835403700000001</v>
      </c>
      <c r="H208" s="19">
        <v>-67.951728900000006</v>
      </c>
      <c r="I208" s="1" t="s">
        <v>39</v>
      </c>
      <c r="J208" s="1" t="s">
        <v>29</v>
      </c>
      <c r="K208" s="1">
        <v>338</v>
      </c>
      <c r="L208" s="1">
        <v>268</v>
      </c>
      <c r="M208" s="1">
        <f t="shared" si="23"/>
        <v>303</v>
      </c>
      <c r="N208" s="4">
        <f t="shared" si="21"/>
        <v>0.79289940828402372</v>
      </c>
      <c r="O208" s="4">
        <f t="shared" si="20"/>
        <v>0.780143973700688</v>
      </c>
      <c r="P208" s="4">
        <f t="shared" si="22"/>
        <v>0.91591622553638286</v>
      </c>
      <c r="Q208" s="1" t="s">
        <v>30</v>
      </c>
      <c r="R208" s="1" t="s">
        <v>31</v>
      </c>
      <c r="S208" s="1" t="s">
        <v>40</v>
      </c>
      <c r="V208" s="1" t="s">
        <v>34</v>
      </c>
      <c r="W208" s="1">
        <v>3550</v>
      </c>
      <c r="AB208" s="1" t="s">
        <v>65</v>
      </c>
      <c r="AC208" s="15">
        <v>2</v>
      </c>
      <c r="AD208" s="15">
        <v>5287</v>
      </c>
      <c r="AE208" s="18" t="s">
        <v>43</v>
      </c>
    </row>
    <row r="209" spans="1:31">
      <c r="A209" s="1" t="s">
        <v>291</v>
      </c>
      <c r="C209" s="1">
        <v>241020</v>
      </c>
      <c r="D209" s="1" t="s">
        <v>27</v>
      </c>
      <c r="E209" s="1">
        <v>1.27</v>
      </c>
      <c r="F209" s="1">
        <v>4.4000000000000004</v>
      </c>
      <c r="G209" s="11">
        <v>-36.780192</v>
      </c>
      <c r="H209" s="19">
        <v>174.7661698</v>
      </c>
      <c r="I209" s="1" t="s">
        <v>292</v>
      </c>
      <c r="J209" s="1" t="s">
        <v>46</v>
      </c>
      <c r="K209" s="1">
        <v>1425</v>
      </c>
      <c r="L209" s="1">
        <v>1033</v>
      </c>
      <c r="M209" s="1">
        <f t="shared" si="23"/>
        <v>1229</v>
      </c>
      <c r="N209" s="4">
        <f t="shared" si="21"/>
        <v>0.7249122807017544</v>
      </c>
      <c r="O209" s="4">
        <f t="shared" si="20"/>
        <v>0.79631355952657756</v>
      </c>
      <c r="P209" s="4">
        <f t="shared" si="22"/>
        <v>0.82434352687170187</v>
      </c>
      <c r="Q209" s="14" t="s">
        <v>47</v>
      </c>
      <c r="R209" s="14" t="s">
        <v>48</v>
      </c>
      <c r="S209" s="14" t="s">
        <v>160</v>
      </c>
      <c r="U209" s="1" t="s">
        <v>293</v>
      </c>
      <c r="V209" s="1" t="s">
        <v>51</v>
      </c>
      <c r="W209" s="1">
        <v>80</v>
      </c>
      <c r="X209" s="1" t="s">
        <v>294</v>
      </c>
      <c r="Y209" s="4">
        <f>87/K209</f>
        <v>6.1052631578947365E-2</v>
      </c>
      <c r="Z209" s="1" t="s">
        <v>295</v>
      </c>
      <c r="AB209" s="1" t="s">
        <v>65</v>
      </c>
      <c r="AC209" s="15">
        <v>1049110</v>
      </c>
      <c r="AD209" s="15">
        <v>1446768</v>
      </c>
      <c r="AE209" s="18" t="s">
        <v>296</v>
      </c>
    </row>
    <row r="210" spans="1:31">
      <c r="A210" s="1" t="s">
        <v>339</v>
      </c>
      <c r="C210" s="1">
        <v>241020</v>
      </c>
      <c r="D210" s="1" t="s">
        <v>27</v>
      </c>
      <c r="E210" s="1">
        <v>0.38</v>
      </c>
      <c r="F210" s="1">
        <v>2.2999999999999998</v>
      </c>
      <c r="G210" s="11">
        <v>-36.802220699999999</v>
      </c>
      <c r="H210" s="19">
        <v>174.75334839999999</v>
      </c>
      <c r="I210" s="1" t="s">
        <v>292</v>
      </c>
      <c r="J210" s="1" t="s">
        <v>46</v>
      </c>
      <c r="K210" s="1">
        <v>843</v>
      </c>
      <c r="L210" s="1">
        <v>548</v>
      </c>
      <c r="M210" s="1">
        <f t="shared" si="23"/>
        <v>695.5</v>
      </c>
      <c r="N210" s="4">
        <f t="shared" si="21"/>
        <v>0.65005931198102018</v>
      </c>
      <c r="O210" s="4">
        <f t="shared" si="20"/>
        <v>0.68082981471776061</v>
      </c>
      <c r="P210" s="4">
        <f t="shared" si="22"/>
        <v>0.90268824829045113</v>
      </c>
      <c r="Q210" s="14" t="s">
        <v>47</v>
      </c>
      <c r="R210" s="14" t="s">
        <v>48</v>
      </c>
      <c r="S210" s="14" t="s">
        <v>160</v>
      </c>
      <c r="V210" s="1" t="s">
        <v>51</v>
      </c>
      <c r="W210" s="1">
        <v>80</v>
      </c>
      <c r="Z210" s="1" t="s">
        <v>340</v>
      </c>
      <c r="AB210" s="1" t="s">
        <v>65</v>
      </c>
      <c r="AC210" s="15">
        <v>1049110</v>
      </c>
      <c r="AD210" s="15">
        <v>1446768</v>
      </c>
      <c r="AE210" s="18" t="s">
        <v>296</v>
      </c>
    </row>
    <row r="211" spans="1:31">
      <c r="A211" s="1" t="s">
        <v>333</v>
      </c>
      <c r="C211" s="1">
        <v>241020</v>
      </c>
      <c r="D211" s="1" t="s">
        <v>27</v>
      </c>
      <c r="E211" s="1">
        <v>0.23</v>
      </c>
      <c r="F211" s="1">
        <v>1.75</v>
      </c>
      <c r="G211" s="11">
        <v>-36.808005799999997</v>
      </c>
      <c r="H211" s="19">
        <v>174.75097779999999</v>
      </c>
      <c r="I211" s="1" t="s">
        <v>292</v>
      </c>
      <c r="J211" s="1" t="s">
        <v>46</v>
      </c>
      <c r="K211" s="1">
        <v>591</v>
      </c>
      <c r="L211" s="1">
        <v>515</v>
      </c>
      <c r="M211" s="1">
        <f t="shared" si="23"/>
        <v>553</v>
      </c>
      <c r="N211" s="4">
        <f t="shared" si="21"/>
        <v>0.87140439932318103</v>
      </c>
      <c r="O211" s="4">
        <f t="shared" si="20"/>
        <v>0.83842263188976074</v>
      </c>
      <c r="P211" s="4">
        <f t="shared" si="22"/>
        <v>0.94376007879268875</v>
      </c>
      <c r="Q211" s="14" t="s">
        <v>47</v>
      </c>
      <c r="R211" s="14" t="s">
        <v>48</v>
      </c>
      <c r="S211" s="14" t="s">
        <v>160</v>
      </c>
      <c r="V211" s="1" t="s">
        <v>51</v>
      </c>
      <c r="W211" s="1">
        <v>80</v>
      </c>
      <c r="X211" s="1" t="s">
        <v>334</v>
      </c>
      <c r="Y211" s="4">
        <f>41/K211</f>
        <v>6.9373942470389166E-2</v>
      </c>
      <c r="Z211" s="1" t="s">
        <v>335</v>
      </c>
      <c r="AB211" s="1" t="s">
        <v>65</v>
      </c>
      <c r="AC211" s="15">
        <v>1049110</v>
      </c>
      <c r="AD211" s="15">
        <v>1446768</v>
      </c>
      <c r="AE211" s="18" t="s">
        <v>296</v>
      </c>
    </row>
    <row r="212" spans="1:31">
      <c r="A212" s="1" t="s">
        <v>341</v>
      </c>
      <c r="C212" s="1">
        <v>241020</v>
      </c>
      <c r="D212" s="1" t="s">
        <v>27</v>
      </c>
      <c r="E212" s="1">
        <v>0.54</v>
      </c>
      <c r="F212" s="1">
        <v>2.66</v>
      </c>
      <c r="G212" s="11">
        <v>-36.8669583</v>
      </c>
      <c r="H212" s="19">
        <v>174.8130731</v>
      </c>
      <c r="I212" s="1" t="s">
        <v>292</v>
      </c>
      <c r="J212" s="1" t="s">
        <v>46</v>
      </c>
      <c r="K212" s="1">
        <v>850</v>
      </c>
      <c r="L212" s="1">
        <v>773</v>
      </c>
      <c r="M212" s="1">
        <f t="shared" si="23"/>
        <v>811.5</v>
      </c>
      <c r="N212" s="4">
        <f t="shared" si="21"/>
        <v>0.90941176470588236</v>
      </c>
      <c r="O212" s="4">
        <f t="shared" si="20"/>
        <v>0.95162540367749215</v>
      </c>
      <c r="P212" s="4">
        <f t="shared" si="22"/>
        <v>0.95904801455056132</v>
      </c>
      <c r="Q212" s="14" t="s">
        <v>47</v>
      </c>
      <c r="R212" s="14" t="s">
        <v>48</v>
      </c>
      <c r="S212" s="14" t="s">
        <v>160</v>
      </c>
      <c r="V212" s="1" t="s">
        <v>51</v>
      </c>
      <c r="W212" s="1">
        <v>80</v>
      </c>
      <c r="X212" s="1" t="s">
        <v>342</v>
      </c>
      <c r="Y212" s="4">
        <f>81/K212</f>
        <v>9.5294117647058821E-2</v>
      </c>
      <c r="Z212" s="1" t="s">
        <v>343</v>
      </c>
      <c r="AB212" s="1" t="s">
        <v>65</v>
      </c>
      <c r="AC212" s="15">
        <v>1049110</v>
      </c>
      <c r="AD212" s="15">
        <v>1446768</v>
      </c>
      <c r="AE212" s="18" t="s">
        <v>296</v>
      </c>
    </row>
    <row r="213" spans="1:31">
      <c r="A213" s="1" t="s">
        <v>311</v>
      </c>
      <c r="B213" s="1" t="s">
        <v>312</v>
      </c>
      <c r="C213" s="1">
        <v>241020</v>
      </c>
      <c r="D213" s="1" t="s">
        <v>27</v>
      </c>
      <c r="E213" s="1">
        <v>0.52</v>
      </c>
      <c r="F213" s="1">
        <v>2.84</v>
      </c>
      <c r="G213" s="11">
        <v>-36.905165599999997</v>
      </c>
      <c r="H213" s="19">
        <v>174.84957700000001</v>
      </c>
      <c r="I213" s="1" t="s">
        <v>292</v>
      </c>
      <c r="J213" s="1" t="s">
        <v>46</v>
      </c>
      <c r="K213" s="1">
        <v>986</v>
      </c>
      <c r="L213" s="1">
        <v>580</v>
      </c>
      <c r="M213" s="1">
        <f t="shared" si="23"/>
        <v>783</v>
      </c>
      <c r="N213" s="4">
        <f t="shared" si="21"/>
        <v>0.58823529411764708</v>
      </c>
      <c r="O213" s="4">
        <f t="shared" si="20"/>
        <v>0.68101963314216951</v>
      </c>
      <c r="P213" s="4">
        <f t="shared" si="22"/>
        <v>0.81017069027310684</v>
      </c>
      <c r="Q213" s="14" t="s">
        <v>47</v>
      </c>
      <c r="R213" s="14" t="s">
        <v>48</v>
      </c>
      <c r="S213" s="14" t="s">
        <v>160</v>
      </c>
      <c r="U213" s="1" t="s">
        <v>313</v>
      </c>
      <c r="V213" s="1" t="s">
        <v>51</v>
      </c>
      <c r="W213" s="1">
        <v>80</v>
      </c>
      <c r="X213" s="1" t="s">
        <v>314</v>
      </c>
      <c r="Y213" s="4">
        <f>65/K213</f>
        <v>6.5922920892494935E-2</v>
      </c>
      <c r="Z213" s="1" t="s">
        <v>231</v>
      </c>
      <c r="AB213" s="1" t="s">
        <v>65</v>
      </c>
      <c r="AC213" s="15">
        <v>1049110</v>
      </c>
      <c r="AD213" s="15">
        <v>1446768</v>
      </c>
      <c r="AE213" s="18" t="s">
        <v>296</v>
      </c>
    </row>
    <row r="214" spans="1:31">
      <c r="A214" s="1" t="s">
        <v>157</v>
      </c>
      <c r="C214" s="1">
        <v>241020</v>
      </c>
      <c r="D214" s="1" t="s">
        <v>27</v>
      </c>
      <c r="E214" s="20">
        <v>0.33</v>
      </c>
      <c r="F214" s="1">
        <v>2.12</v>
      </c>
      <c r="G214" s="9">
        <v>-36.956786600000001</v>
      </c>
      <c r="H214" s="9">
        <v>174.77786789999999</v>
      </c>
      <c r="I214" s="1" t="s">
        <v>158</v>
      </c>
      <c r="J214" s="1" t="s">
        <v>159</v>
      </c>
      <c r="K214" s="1">
        <v>676</v>
      </c>
      <c r="L214" s="1">
        <v>662</v>
      </c>
      <c r="M214" s="1">
        <f t="shared" si="23"/>
        <v>669</v>
      </c>
      <c r="N214" s="4">
        <f t="shared" si="21"/>
        <v>0.97928994082840237</v>
      </c>
      <c r="O214" s="4">
        <f t="shared" si="20"/>
        <v>0.91945539757581074</v>
      </c>
      <c r="P214" s="4">
        <f t="shared" si="22"/>
        <v>0.92268207163103555</v>
      </c>
      <c r="Q214" s="1" t="s">
        <v>47</v>
      </c>
      <c r="R214" s="1" t="s">
        <v>48</v>
      </c>
      <c r="S214" s="1" t="s">
        <v>160</v>
      </c>
      <c r="U214" s="1" t="s">
        <v>161</v>
      </c>
      <c r="V214" s="1" t="s">
        <v>51</v>
      </c>
      <c r="W214" s="1">
        <v>0</v>
      </c>
      <c r="AB214" s="1" t="s">
        <v>65</v>
      </c>
      <c r="AC214" s="15">
        <v>1049110</v>
      </c>
      <c r="AD214" s="15">
        <v>1446768</v>
      </c>
      <c r="AE214" s="18" t="s">
        <v>162</v>
      </c>
    </row>
    <row r="215" spans="1:31">
      <c r="A215" s="1" t="s">
        <v>336</v>
      </c>
      <c r="C215" s="1">
        <v>241020</v>
      </c>
      <c r="D215" s="1" t="s">
        <v>27</v>
      </c>
      <c r="E215" s="1">
        <v>0.3</v>
      </c>
      <c r="F215" s="1">
        <v>1.98</v>
      </c>
      <c r="G215" s="11">
        <v>-36.982940399999997</v>
      </c>
      <c r="H215" s="19">
        <v>174.81028359999999</v>
      </c>
      <c r="I215" s="1" t="s">
        <v>292</v>
      </c>
      <c r="J215" s="1" t="s">
        <v>46</v>
      </c>
      <c r="K215" s="1">
        <v>698</v>
      </c>
      <c r="L215" s="1">
        <v>550</v>
      </c>
      <c r="M215" s="1">
        <f t="shared" si="23"/>
        <v>624</v>
      </c>
      <c r="N215" s="4">
        <f t="shared" si="21"/>
        <v>0.78796561604584525</v>
      </c>
      <c r="O215" s="4">
        <f t="shared" si="20"/>
        <v>0.78400806114183974</v>
      </c>
      <c r="P215" s="4">
        <f t="shared" si="22"/>
        <v>0.96161391294453424</v>
      </c>
      <c r="Q215" s="14" t="s">
        <v>47</v>
      </c>
      <c r="R215" s="14" t="s">
        <v>48</v>
      </c>
      <c r="S215" s="14" t="s">
        <v>160</v>
      </c>
      <c r="V215" s="1" t="s">
        <v>51</v>
      </c>
      <c r="W215" s="1">
        <v>80</v>
      </c>
      <c r="X215" s="1">
        <f>100+40</f>
        <v>140</v>
      </c>
      <c r="Y215" s="4">
        <f>X215/K215</f>
        <v>0.20057306590257878</v>
      </c>
      <c r="Z215" s="1" t="s">
        <v>337</v>
      </c>
      <c r="AB215" s="1" t="s">
        <v>65</v>
      </c>
      <c r="AC215" s="15">
        <v>1049110</v>
      </c>
      <c r="AD215" s="15">
        <v>1446768</v>
      </c>
      <c r="AE215" s="18" t="s">
        <v>338</v>
      </c>
    </row>
    <row r="216" spans="1:31">
      <c r="A216" s="1" t="s">
        <v>63</v>
      </c>
      <c r="D216" s="1" t="s">
        <v>27</v>
      </c>
      <c r="E216" s="1">
        <v>2.67</v>
      </c>
      <c r="F216" s="1">
        <v>6.1</v>
      </c>
      <c r="G216" s="11">
        <v>-37.195514799999998</v>
      </c>
      <c r="H216" s="19">
        <v>-69.049345099999996</v>
      </c>
      <c r="I216" s="1" t="s">
        <v>64</v>
      </c>
      <c r="J216" s="1" t="s">
        <v>29</v>
      </c>
      <c r="K216" s="1">
        <v>1857</v>
      </c>
      <c r="L216" s="1">
        <v>1821</v>
      </c>
      <c r="M216" s="1">
        <f t="shared" si="23"/>
        <v>1839</v>
      </c>
      <c r="N216" s="4">
        <f t="shared" si="21"/>
        <v>0.98061389337641358</v>
      </c>
      <c r="O216" s="4">
        <f t="shared" si="20"/>
        <v>0.98581988147218769</v>
      </c>
      <c r="P216" s="4">
        <f t="shared" si="22"/>
        <v>0.90169872454552524</v>
      </c>
      <c r="Q216" s="14" t="s">
        <v>47</v>
      </c>
      <c r="R216" s="14" t="s">
        <v>65</v>
      </c>
      <c r="S216" s="14" t="s">
        <v>66</v>
      </c>
      <c r="T216" s="1" t="s">
        <v>67</v>
      </c>
      <c r="U216" s="1" t="s">
        <v>68</v>
      </c>
      <c r="V216" s="1" t="s">
        <v>69</v>
      </c>
      <c r="W216" s="1">
        <v>800</v>
      </c>
      <c r="X216" s="1">
        <v>90</v>
      </c>
      <c r="Y216" s="4">
        <f>X216/K216</f>
        <v>4.8465266558966075E-2</v>
      </c>
      <c r="Z216" s="1" t="s">
        <v>70</v>
      </c>
      <c r="AA216" s="1" t="s">
        <v>71</v>
      </c>
      <c r="AB216" s="1" t="s">
        <v>65</v>
      </c>
      <c r="AD216" s="15">
        <v>95765</v>
      </c>
      <c r="AE216" s="18" t="s">
        <v>72</v>
      </c>
    </row>
    <row r="217" spans="1:31">
      <c r="A217" s="1" t="s">
        <v>400</v>
      </c>
      <c r="C217" s="1">
        <v>259010</v>
      </c>
      <c r="D217" s="1" t="s">
        <v>27</v>
      </c>
      <c r="E217" s="1">
        <v>1.22</v>
      </c>
      <c r="F217" s="1">
        <v>4.76</v>
      </c>
      <c r="G217" s="9">
        <v>-37.612582500000002</v>
      </c>
      <c r="H217" s="9">
        <v>140.5859193</v>
      </c>
      <c r="I217" s="1" t="s">
        <v>360</v>
      </c>
      <c r="J217" s="1" t="s">
        <v>262</v>
      </c>
      <c r="K217" s="1">
        <v>1608</v>
      </c>
      <c r="L217" s="1">
        <v>968</v>
      </c>
      <c r="M217" s="1">
        <f t="shared" si="23"/>
        <v>1288</v>
      </c>
      <c r="N217" s="4">
        <f t="shared" si="21"/>
        <v>0.60199004975124382</v>
      </c>
      <c r="O217" s="4">
        <f t="shared" ref="O217:O235" si="24">E217/(PI()*((K217/2000)^2))</f>
        <v>0.6007556451947732</v>
      </c>
      <c r="P217" s="4">
        <f t="shared" si="22"/>
        <v>0.6766370731903727</v>
      </c>
      <c r="Q217" s="1" t="s">
        <v>47</v>
      </c>
      <c r="R217" s="1" t="s">
        <v>48</v>
      </c>
      <c r="S217" s="1" t="s">
        <v>361</v>
      </c>
      <c r="V217" s="1" t="s">
        <v>51</v>
      </c>
      <c r="W217" s="1">
        <v>150</v>
      </c>
      <c r="AB217" s="1" t="s">
        <v>48</v>
      </c>
      <c r="AC217" s="15" t="s">
        <v>36</v>
      </c>
      <c r="AD217" s="15" t="s">
        <v>36</v>
      </c>
      <c r="AE217" s="18" t="s">
        <v>362</v>
      </c>
    </row>
    <row r="218" spans="1:31">
      <c r="A218" s="1" t="s">
        <v>399</v>
      </c>
      <c r="C218" s="1">
        <v>259010</v>
      </c>
      <c r="D218" s="1" t="s">
        <v>27</v>
      </c>
      <c r="E218" s="1">
        <v>0.38</v>
      </c>
      <c r="F218" s="1">
        <v>2.23</v>
      </c>
      <c r="G218" s="9">
        <v>-37.624008500000002</v>
      </c>
      <c r="H218" s="9">
        <v>140.604209</v>
      </c>
      <c r="I218" s="1" t="s">
        <v>360</v>
      </c>
      <c r="J218" s="1" t="s">
        <v>262</v>
      </c>
      <c r="K218" s="1">
        <v>744</v>
      </c>
      <c r="L218" s="1">
        <v>660</v>
      </c>
      <c r="M218" s="1">
        <f t="shared" si="23"/>
        <v>702</v>
      </c>
      <c r="N218" s="4">
        <f t="shared" si="21"/>
        <v>0.88709677419354838</v>
      </c>
      <c r="O218" s="4">
        <f t="shared" si="24"/>
        <v>0.87407327978552762</v>
      </c>
      <c r="P218" s="4">
        <f t="shared" si="22"/>
        <v>0.9602487147251072</v>
      </c>
      <c r="Q218" s="1" t="s">
        <v>47</v>
      </c>
      <c r="R218" s="1" t="s">
        <v>48</v>
      </c>
      <c r="S218" s="1" t="s">
        <v>361</v>
      </c>
      <c r="V218" s="1" t="s">
        <v>51</v>
      </c>
      <c r="W218" s="1">
        <v>150</v>
      </c>
      <c r="AB218" s="1" t="s">
        <v>65</v>
      </c>
      <c r="AC218" s="15" t="s">
        <v>36</v>
      </c>
      <c r="AD218" s="15" t="s">
        <v>36</v>
      </c>
      <c r="AE218" s="18" t="s">
        <v>362</v>
      </c>
    </row>
    <row r="219" spans="1:31">
      <c r="A219" s="1" t="s">
        <v>410</v>
      </c>
      <c r="C219" s="1">
        <v>259010</v>
      </c>
      <c r="D219" s="1" t="s">
        <v>27</v>
      </c>
      <c r="E219" s="1">
        <v>1.69</v>
      </c>
      <c r="F219" s="1">
        <v>5.75</v>
      </c>
      <c r="G219" s="11">
        <v>-37.839193000000002</v>
      </c>
      <c r="H219" s="21">
        <v>140.76221530000001</v>
      </c>
      <c r="I219" s="1" t="s">
        <v>360</v>
      </c>
      <c r="J219" s="1" t="s">
        <v>262</v>
      </c>
      <c r="K219" s="1">
        <v>2080</v>
      </c>
      <c r="L219" s="1">
        <v>1007</v>
      </c>
      <c r="M219" s="1">
        <f t="shared" si="23"/>
        <v>1543.5</v>
      </c>
      <c r="N219" s="4">
        <f t="shared" si="21"/>
        <v>0.48413461538461539</v>
      </c>
      <c r="O219" s="4">
        <f t="shared" si="24"/>
        <v>0.49735919716217286</v>
      </c>
      <c r="P219" s="4">
        <f t="shared" si="22"/>
        <v>0.64233395352036304</v>
      </c>
      <c r="Q219" s="14" t="s">
        <v>47</v>
      </c>
      <c r="R219" s="14" t="s">
        <v>48</v>
      </c>
      <c r="S219" s="1" t="s">
        <v>361</v>
      </c>
      <c r="T219" s="1" t="s">
        <v>65</v>
      </c>
      <c r="V219" s="1" t="s">
        <v>51</v>
      </c>
      <c r="W219" s="1">
        <v>190</v>
      </c>
      <c r="X219" s="1" t="s">
        <v>411</v>
      </c>
      <c r="Y219" s="4">
        <f>100/K219</f>
        <v>4.807692307692308E-2</v>
      </c>
      <c r="AB219" s="1" t="s">
        <v>48</v>
      </c>
      <c r="AC219" s="15" t="s">
        <v>36</v>
      </c>
      <c r="AD219" s="15" t="s">
        <v>36</v>
      </c>
      <c r="AE219" s="18" t="s">
        <v>412</v>
      </c>
    </row>
    <row r="220" spans="1:31">
      <c r="A220" s="1" t="s">
        <v>407</v>
      </c>
      <c r="C220" s="1">
        <v>259010</v>
      </c>
      <c r="D220" s="1" t="s">
        <v>27</v>
      </c>
      <c r="E220" s="1">
        <v>0.92</v>
      </c>
      <c r="F220" s="1">
        <v>3.56</v>
      </c>
      <c r="G220" s="11">
        <v>-37.846924700000002</v>
      </c>
      <c r="H220" s="19">
        <v>140.7778864</v>
      </c>
      <c r="I220" s="1" t="s">
        <v>360</v>
      </c>
      <c r="J220" s="1" t="s">
        <v>262</v>
      </c>
      <c r="K220" s="1">
        <v>1234</v>
      </c>
      <c r="L220" s="1">
        <v>844.16</v>
      </c>
      <c r="M220" s="1">
        <f t="shared" si="23"/>
        <v>1039.08</v>
      </c>
      <c r="N220" s="4">
        <f t="shared" si="21"/>
        <v>0.68408427876823341</v>
      </c>
      <c r="O220" s="4">
        <f t="shared" si="24"/>
        <v>0.76925021550159689</v>
      </c>
      <c r="P220" s="4">
        <f t="shared" si="22"/>
        <v>0.9122160211155822</v>
      </c>
      <c r="Q220" s="14" t="s">
        <v>47</v>
      </c>
      <c r="R220" s="14" t="s">
        <v>48</v>
      </c>
      <c r="S220" s="1" t="s">
        <v>361</v>
      </c>
      <c r="V220" s="1" t="s">
        <v>51</v>
      </c>
      <c r="W220" s="1">
        <v>190</v>
      </c>
      <c r="X220" s="1" t="s">
        <v>408</v>
      </c>
      <c r="Y220" s="4">
        <f>90/K220</f>
        <v>7.2933549432739053E-2</v>
      </c>
      <c r="AB220" s="1" t="s">
        <v>65</v>
      </c>
      <c r="AC220" s="15" t="s">
        <v>36</v>
      </c>
      <c r="AD220" s="15" t="s">
        <v>36</v>
      </c>
      <c r="AE220" s="18" t="s">
        <v>409</v>
      </c>
    </row>
    <row r="221" spans="1:31">
      <c r="A221" s="1" t="s">
        <v>394</v>
      </c>
      <c r="C221" s="1">
        <v>259010</v>
      </c>
      <c r="D221" s="1" t="s">
        <v>27</v>
      </c>
      <c r="E221" s="1">
        <v>4</v>
      </c>
      <c r="F221" s="1">
        <v>7.19</v>
      </c>
      <c r="G221" s="9">
        <v>-38.206522300000003</v>
      </c>
      <c r="H221" s="9">
        <v>142.87909680000001</v>
      </c>
      <c r="I221" s="1" t="s">
        <v>360</v>
      </c>
      <c r="J221" s="1" t="s">
        <v>262</v>
      </c>
      <c r="K221" s="1">
        <v>2424</v>
      </c>
      <c r="L221" s="1">
        <v>2123</v>
      </c>
      <c r="M221" s="1">
        <f t="shared" si="23"/>
        <v>2273.5</v>
      </c>
      <c r="N221" s="4">
        <f t="shared" si="21"/>
        <v>0.87582508250825086</v>
      </c>
      <c r="O221" s="4">
        <f t="shared" si="24"/>
        <v>0.86677201086982403</v>
      </c>
      <c r="P221" s="4">
        <f t="shared" si="22"/>
        <v>0.97232639323733683</v>
      </c>
      <c r="Q221" s="1" t="s">
        <v>47</v>
      </c>
      <c r="R221" s="1" t="s">
        <v>48</v>
      </c>
      <c r="S221" s="1" t="s">
        <v>361</v>
      </c>
      <c r="V221" s="1" t="s">
        <v>51</v>
      </c>
      <c r="W221" s="1">
        <v>137</v>
      </c>
      <c r="AB221" s="1" t="s">
        <v>65</v>
      </c>
      <c r="AC221" s="15" t="s">
        <v>36</v>
      </c>
      <c r="AD221" s="15" t="s">
        <v>36</v>
      </c>
      <c r="AE221" s="18" t="s">
        <v>935</v>
      </c>
    </row>
    <row r="222" spans="1:31">
      <c r="A222" s="1" t="s">
        <v>428</v>
      </c>
      <c r="C222" s="1">
        <v>259010</v>
      </c>
      <c r="D222" s="1" t="s">
        <v>27</v>
      </c>
      <c r="E222" s="1">
        <v>5.54</v>
      </c>
      <c r="F222" s="1">
        <v>9.33</v>
      </c>
      <c r="G222" s="9">
        <v>-38.223637400000001</v>
      </c>
      <c r="H222" s="9">
        <v>143.101822</v>
      </c>
      <c r="I222" s="1" t="s">
        <v>360</v>
      </c>
      <c r="J222" s="1" t="s">
        <v>262</v>
      </c>
      <c r="K222" s="1">
        <v>3019</v>
      </c>
      <c r="L222" s="1">
        <v>2627</v>
      </c>
      <c r="M222" s="1">
        <f t="shared" si="23"/>
        <v>2823</v>
      </c>
      <c r="N222" s="4">
        <f t="shared" si="21"/>
        <v>0.87015568068896987</v>
      </c>
      <c r="O222" s="4">
        <f t="shared" si="24"/>
        <v>0.77391570048989733</v>
      </c>
      <c r="P222" s="4">
        <f t="shared" si="22"/>
        <v>0.7997538533347327</v>
      </c>
      <c r="Q222" s="1" t="s">
        <v>47</v>
      </c>
      <c r="R222" s="1" t="s">
        <v>48</v>
      </c>
      <c r="S222" s="1" t="s">
        <v>361</v>
      </c>
      <c r="V222" s="1" t="s">
        <v>51</v>
      </c>
      <c r="W222" s="1">
        <v>275</v>
      </c>
      <c r="AA222" s="1" t="s">
        <v>90</v>
      </c>
      <c r="AB222" s="1" t="s">
        <v>65</v>
      </c>
      <c r="AD222" s="15">
        <v>610361</v>
      </c>
      <c r="AE222" s="18" t="s">
        <v>362</v>
      </c>
    </row>
    <row r="223" spans="1:31">
      <c r="A223" s="1" t="s">
        <v>429</v>
      </c>
      <c r="C223" s="1">
        <v>259010</v>
      </c>
      <c r="D223" s="1" t="s">
        <v>27</v>
      </c>
      <c r="E223" s="1">
        <v>7.85</v>
      </c>
      <c r="F223" s="1">
        <v>11.1</v>
      </c>
      <c r="G223" s="9">
        <v>-38.248311800000003</v>
      </c>
      <c r="H223" s="9">
        <v>143.1054125</v>
      </c>
      <c r="I223" s="1" t="s">
        <v>360</v>
      </c>
      <c r="J223" s="1" t="s">
        <v>262</v>
      </c>
      <c r="K223" s="1">
        <v>3714</v>
      </c>
      <c r="L223" s="1">
        <v>3450</v>
      </c>
      <c r="M223" s="1">
        <f t="shared" si="23"/>
        <v>3582</v>
      </c>
      <c r="N223" s="4">
        <f t="shared" si="21"/>
        <v>0.92891760904684972</v>
      </c>
      <c r="O223" s="4">
        <f t="shared" si="24"/>
        <v>0.72459607392852743</v>
      </c>
      <c r="P223" s="4">
        <f t="shared" si="22"/>
        <v>0.80063314116321338</v>
      </c>
      <c r="Q223" s="1" t="s">
        <v>47</v>
      </c>
      <c r="R223" s="1" t="s">
        <v>48</v>
      </c>
      <c r="S223" s="1" t="s">
        <v>361</v>
      </c>
      <c r="V223" s="1" t="s">
        <v>51</v>
      </c>
      <c r="W223" s="1">
        <v>275</v>
      </c>
      <c r="AA223" s="1" t="s">
        <v>90</v>
      </c>
      <c r="AB223" s="1" t="s">
        <v>65</v>
      </c>
      <c r="AD223" s="15">
        <v>610361</v>
      </c>
      <c r="AE223" s="18" t="s">
        <v>362</v>
      </c>
    </row>
    <row r="224" spans="1:31">
      <c r="A224" s="1" t="s">
        <v>386</v>
      </c>
      <c r="C224" s="1">
        <v>259010</v>
      </c>
      <c r="D224" s="1" t="s">
        <v>27</v>
      </c>
      <c r="E224" s="1">
        <v>0.53</v>
      </c>
      <c r="F224" s="1">
        <v>2.93</v>
      </c>
      <c r="G224" s="9">
        <v>-38.249627099999998</v>
      </c>
      <c r="H224" s="9">
        <v>143.51633480000001</v>
      </c>
      <c r="I224" s="1" t="s">
        <v>360</v>
      </c>
      <c r="J224" s="1" t="s">
        <v>329</v>
      </c>
      <c r="K224" s="1">
        <v>940</v>
      </c>
      <c r="L224" s="1">
        <v>730</v>
      </c>
      <c r="M224" s="1">
        <f t="shared" si="23"/>
        <v>835</v>
      </c>
      <c r="N224" s="4">
        <f t="shared" si="21"/>
        <v>0.77659574468085102</v>
      </c>
      <c r="O224" s="4">
        <f t="shared" si="24"/>
        <v>0.76371317192127242</v>
      </c>
      <c r="P224" s="4">
        <f t="shared" si="22"/>
        <v>0.77580128197304121</v>
      </c>
      <c r="Q224" s="1" t="s">
        <v>47</v>
      </c>
      <c r="R224" s="1" t="s">
        <v>48</v>
      </c>
      <c r="S224" s="1" t="s">
        <v>361</v>
      </c>
      <c r="V224" s="1" t="s">
        <v>51</v>
      </c>
      <c r="W224" s="1">
        <v>110</v>
      </c>
      <c r="X224" s="1" t="s">
        <v>387</v>
      </c>
      <c r="Y224" s="4">
        <f>120/K224</f>
        <v>0.1276595744680851</v>
      </c>
      <c r="Z224" s="1" t="s">
        <v>388</v>
      </c>
      <c r="AA224" s="1" t="s">
        <v>389</v>
      </c>
      <c r="AB224" s="1" t="s">
        <v>65</v>
      </c>
      <c r="AC224" s="15" t="s">
        <v>36</v>
      </c>
      <c r="AD224" s="15">
        <v>610361</v>
      </c>
      <c r="AE224" s="18" t="s">
        <v>931</v>
      </c>
    </row>
    <row r="225" spans="1:31">
      <c r="A225" s="1" t="s">
        <v>392</v>
      </c>
      <c r="C225" s="1">
        <v>259010</v>
      </c>
      <c r="D225" s="1" t="s">
        <v>27</v>
      </c>
      <c r="E225" s="1">
        <v>5.38</v>
      </c>
      <c r="F225" s="1">
        <v>8.4499999999999993</v>
      </c>
      <c r="G225" s="11">
        <v>-38.280900299999999</v>
      </c>
      <c r="H225" s="19">
        <v>143.23018020000001</v>
      </c>
      <c r="I225" s="1" t="s">
        <v>360</v>
      </c>
      <c r="J225" s="1" t="s">
        <v>262</v>
      </c>
      <c r="K225" s="1">
        <v>2815</v>
      </c>
      <c r="L225" s="1">
        <v>2376</v>
      </c>
      <c r="M225" s="1">
        <f t="shared" si="23"/>
        <v>2595.5</v>
      </c>
      <c r="N225" s="4">
        <f t="shared" si="21"/>
        <v>0.84404973357015989</v>
      </c>
      <c r="O225" s="4">
        <f t="shared" si="24"/>
        <v>0.86444147543452843</v>
      </c>
      <c r="P225" s="4">
        <f t="shared" si="22"/>
        <v>0.946844632964565</v>
      </c>
      <c r="Q225" s="14" t="s">
        <v>47</v>
      </c>
      <c r="R225" s="14" t="s">
        <v>48</v>
      </c>
      <c r="S225" s="1" t="s">
        <v>361</v>
      </c>
      <c r="T225" s="1" t="s">
        <v>67</v>
      </c>
      <c r="V225" s="1" t="s">
        <v>51</v>
      </c>
      <c r="W225" s="1">
        <v>130</v>
      </c>
      <c r="X225" s="1">
        <f>30+45</f>
        <v>75</v>
      </c>
      <c r="Y225" s="4">
        <f>X225/K225</f>
        <v>2.664298401420959E-2</v>
      </c>
      <c r="AB225" s="1" t="s">
        <v>65</v>
      </c>
      <c r="AD225" s="15">
        <v>610361</v>
      </c>
      <c r="AE225" s="18" t="s">
        <v>393</v>
      </c>
    </row>
    <row r="226" spans="1:31">
      <c r="A226" s="1" t="s">
        <v>381</v>
      </c>
      <c r="C226" s="1">
        <v>259010</v>
      </c>
      <c r="D226" s="1" t="s">
        <v>27</v>
      </c>
      <c r="E226" s="1">
        <v>3.89</v>
      </c>
      <c r="F226" s="1">
        <v>7.19</v>
      </c>
      <c r="G226" s="9">
        <v>-38.308192400000003</v>
      </c>
      <c r="H226" s="9">
        <v>143.0063725</v>
      </c>
      <c r="I226" s="1" t="s">
        <v>360</v>
      </c>
      <c r="J226" s="1" t="s">
        <v>262</v>
      </c>
      <c r="K226" s="1">
        <v>2403</v>
      </c>
      <c r="L226" s="1">
        <v>2317</v>
      </c>
      <c r="M226" s="1">
        <f t="shared" si="23"/>
        <v>2360</v>
      </c>
      <c r="N226" s="4">
        <f t="shared" si="21"/>
        <v>0.96421140241364955</v>
      </c>
      <c r="O226" s="4">
        <f t="shared" si="24"/>
        <v>0.85773311676048292</v>
      </c>
      <c r="P226" s="4">
        <f t="shared" si="22"/>
        <v>0.94558741742331009</v>
      </c>
      <c r="Q226" s="1" t="s">
        <v>47</v>
      </c>
      <c r="R226" s="1" t="s">
        <v>48</v>
      </c>
      <c r="S226" s="1" t="s">
        <v>361</v>
      </c>
      <c r="V226" s="1" t="s">
        <v>51</v>
      </c>
      <c r="W226" s="1">
        <v>100</v>
      </c>
      <c r="AB226" s="1" t="s">
        <v>65</v>
      </c>
      <c r="AC226" s="15" t="s">
        <v>36</v>
      </c>
      <c r="AD226" s="15" t="s">
        <v>36</v>
      </c>
      <c r="AE226" s="18" t="s">
        <v>362</v>
      </c>
    </row>
    <row r="227" spans="1:31">
      <c r="A227" s="1" t="s">
        <v>675</v>
      </c>
      <c r="C227" s="1">
        <v>259010</v>
      </c>
      <c r="D227" s="1" t="s">
        <v>27</v>
      </c>
      <c r="E227" s="20">
        <v>6.1</v>
      </c>
      <c r="F227" s="1">
        <v>9.19</v>
      </c>
      <c r="G227" s="9">
        <v>-38.3176104</v>
      </c>
      <c r="H227" s="9">
        <v>142.36055820000001</v>
      </c>
      <c r="I227" s="1" t="s">
        <v>360</v>
      </c>
      <c r="J227" s="1" t="s">
        <v>262</v>
      </c>
      <c r="K227" s="1">
        <v>3336</v>
      </c>
      <c r="L227" s="1">
        <v>2434</v>
      </c>
      <c r="M227" s="1">
        <f t="shared" si="23"/>
        <v>2885</v>
      </c>
      <c r="N227" s="4">
        <f t="shared" si="21"/>
        <v>0.72961630695443647</v>
      </c>
      <c r="O227" s="4">
        <f t="shared" si="24"/>
        <v>0.69789143710970913</v>
      </c>
      <c r="P227" s="4">
        <f t="shared" si="22"/>
        <v>0.90762965312855981</v>
      </c>
      <c r="Q227" s="1" t="s">
        <v>47</v>
      </c>
      <c r="R227" s="1" t="s">
        <v>48</v>
      </c>
      <c r="S227" s="1" t="s">
        <v>361</v>
      </c>
      <c r="V227" s="1" t="s">
        <v>51</v>
      </c>
      <c r="Z227" s="1" t="s">
        <v>500</v>
      </c>
      <c r="AA227" s="1" t="s">
        <v>90</v>
      </c>
      <c r="AB227" s="1" t="s">
        <v>65</v>
      </c>
      <c r="AD227" s="15">
        <v>610361</v>
      </c>
      <c r="AE227" s="18" t="s">
        <v>676</v>
      </c>
    </row>
    <row r="228" spans="1:31" ht="13.5" customHeight="1">
      <c r="A228" s="1" t="s">
        <v>376</v>
      </c>
      <c r="C228" s="1">
        <v>259010</v>
      </c>
      <c r="D228" s="1" t="s">
        <v>27</v>
      </c>
      <c r="E228" s="1">
        <v>1.1000000000000001</v>
      </c>
      <c r="F228" s="1">
        <v>3.79</v>
      </c>
      <c r="G228" s="9">
        <v>-38.344559799999999</v>
      </c>
      <c r="H228" s="9">
        <v>142.59026489999999</v>
      </c>
      <c r="I228" s="1" t="s">
        <v>360</v>
      </c>
      <c r="J228" s="1" t="s">
        <v>262</v>
      </c>
      <c r="K228" s="1">
        <v>1348</v>
      </c>
      <c r="L228" s="1">
        <v>1083</v>
      </c>
      <c r="M228" s="1">
        <f t="shared" si="23"/>
        <v>1215.5</v>
      </c>
      <c r="N228" s="4">
        <f t="shared" si="21"/>
        <v>0.80341246290801183</v>
      </c>
      <c r="O228" s="4">
        <f t="shared" si="24"/>
        <v>0.77076683514464717</v>
      </c>
      <c r="P228" s="4">
        <f t="shared" si="22"/>
        <v>0.96233023132636863</v>
      </c>
      <c r="Q228" s="1" t="s">
        <v>47</v>
      </c>
      <c r="R228" s="1" t="s">
        <v>48</v>
      </c>
      <c r="S228" s="1" t="s">
        <v>361</v>
      </c>
      <c r="V228" s="1" t="s">
        <v>51</v>
      </c>
      <c r="W228" s="1">
        <v>100</v>
      </c>
      <c r="AB228" s="1" t="s">
        <v>65</v>
      </c>
      <c r="AC228" s="15" t="s">
        <v>36</v>
      </c>
      <c r="AD228" s="15" t="s">
        <v>36</v>
      </c>
      <c r="AE228" s="18" t="s">
        <v>362</v>
      </c>
    </row>
    <row r="229" spans="1:31">
      <c r="A229" s="1" t="s">
        <v>380</v>
      </c>
      <c r="C229" s="1">
        <v>259010</v>
      </c>
      <c r="D229" s="1" t="s">
        <v>27</v>
      </c>
      <c r="E229" s="1">
        <v>3.91</v>
      </c>
      <c r="F229" s="1">
        <v>7.23</v>
      </c>
      <c r="G229" s="9">
        <v>-38.354902199999998</v>
      </c>
      <c r="H229" s="9">
        <v>143.0064946</v>
      </c>
      <c r="I229" s="1" t="s">
        <v>360</v>
      </c>
      <c r="J229" s="1" t="s">
        <v>262</v>
      </c>
      <c r="K229" s="1">
        <v>2338</v>
      </c>
      <c r="L229" s="1">
        <v>2316</v>
      </c>
      <c r="M229" s="1">
        <f t="shared" si="23"/>
        <v>2327</v>
      </c>
      <c r="N229" s="4">
        <f t="shared" si="21"/>
        <v>0.99059024807527807</v>
      </c>
      <c r="O229" s="4">
        <f t="shared" si="24"/>
        <v>0.9107472370268298</v>
      </c>
      <c r="P229" s="4">
        <f t="shared" si="22"/>
        <v>0.93996141599460459</v>
      </c>
      <c r="Q229" s="1" t="s">
        <v>47</v>
      </c>
      <c r="R229" s="1" t="s">
        <v>48</v>
      </c>
      <c r="S229" s="1" t="s">
        <v>361</v>
      </c>
      <c r="V229" s="1" t="s">
        <v>51</v>
      </c>
      <c r="W229" s="1">
        <v>100</v>
      </c>
      <c r="AB229" s="1" t="s">
        <v>65</v>
      </c>
      <c r="AC229" s="15" t="s">
        <v>36</v>
      </c>
      <c r="AD229" s="15" t="s">
        <v>36</v>
      </c>
      <c r="AE229" s="18" t="s">
        <v>362</v>
      </c>
    </row>
    <row r="230" spans="1:31">
      <c r="A230" s="1" t="s">
        <v>431</v>
      </c>
      <c r="C230" s="1">
        <v>357141</v>
      </c>
      <c r="D230" s="1" t="s">
        <v>27</v>
      </c>
      <c r="E230" s="1">
        <v>0.34</v>
      </c>
      <c r="F230" s="1">
        <v>2.12</v>
      </c>
      <c r="G230" s="11">
        <v>-40.350072099999998</v>
      </c>
      <c r="H230" s="21">
        <v>-72.099551099999999</v>
      </c>
      <c r="I230" s="1" t="s">
        <v>39</v>
      </c>
      <c r="J230" s="1" t="s">
        <v>94</v>
      </c>
      <c r="K230" s="1">
        <v>703</v>
      </c>
      <c r="L230" s="1">
        <v>627</v>
      </c>
      <c r="M230" s="1">
        <f t="shared" si="23"/>
        <v>665</v>
      </c>
      <c r="N230" s="4">
        <f t="shared" si="21"/>
        <v>0.89189189189189189</v>
      </c>
      <c r="O230" s="4">
        <f t="shared" si="24"/>
        <v>0.87594812156386348</v>
      </c>
      <c r="P230" s="4">
        <f>(4*PI()*E230)/F230^2</f>
        <v>0.95064213440773382</v>
      </c>
      <c r="Q230" s="1" t="s">
        <v>30</v>
      </c>
      <c r="R230" s="14" t="s">
        <v>31</v>
      </c>
      <c r="S230" s="20" t="s">
        <v>432</v>
      </c>
      <c r="V230" s="1" t="s">
        <v>433</v>
      </c>
      <c r="W230" s="1">
        <v>300</v>
      </c>
      <c r="AA230" s="1" t="s">
        <v>526</v>
      </c>
      <c r="AB230" s="1" t="s">
        <v>65</v>
      </c>
      <c r="AC230" s="15" t="s">
        <v>36</v>
      </c>
      <c r="AD230" s="15" t="s">
        <v>36</v>
      </c>
      <c r="AE230" s="18" t="s">
        <v>434</v>
      </c>
    </row>
    <row r="231" spans="1:31">
      <c r="A231" s="1" t="s">
        <v>458</v>
      </c>
      <c r="C231" s="1">
        <v>357140</v>
      </c>
      <c r="D231" s="1" t="s">
        <v>27</v>
      </c>
      <c r="E231" s="1">
        <v>1.1499999999999999</v>
      </c>
      <c r="F231" s="1">
        <v>3.93</v>
      </c>
      <c r="G231" s="11">
        <v>-40.365226399999997</v>
      </c>
      <c r="H231" s="19">
        <v>-72.072002699999999</v>
      </c>
      <c r="I231" s="1" t="s">
        <v>39</v>
      </c>
      <c r="J231" s="1" t="s">
        <v>94</v>
      </c>
      <c r="K231" s="1">
        <v>1609</v>
      </c>
      <c r="L231" s="1">
        <v>1277</v>
      </c>
      <c r="M231" s="1">
        <f t="shared" si="23"/>
        <v>1443</v>
      </c>
      <c r="N231" s="4">
        <f t="shared" si="21"/>
        <v>0.79366065879428216</v>
      </c>
      <c r="O231" s="4">
        <f t="shared" si="24"/>
        <v>0.5655823795861753</v>
      </c>
      <c r="P231" s="4">
        <f>(4*PI()*E231)/F231^2</f>
        <v>0.93566978138499091</v>
      </c>
      <c r="Q231" s="1" t="s">
        <v>30</v>
      </c>
      <c r="R231" s="14" t="s">
        <v>31</v>
      </c>
      <c r="S231" s="20" t="s">
        <v>432</v>
      </c>
      <c r="V231" s="1" t="s">
        <v>433</v>
      </c>
      <c r="W231" s="1">
        <v>400</v>
      </c>
      <c r="Z231" s="1">
        <v>65</v>
      </c>
      <c r="AA231" s="1" t="s">
        <v>526</v>
      </c>
      <c r="AB231" s="1" t="s">
        <v>65</v>
      </c>
      <c r="AC231" s="15">
        <v>4840</v>
      </c>
      <c r="AD231" s="15">
        <v>452820</v>
      </c>
      <c r="AE231" s="18" t="s">
        <v>459</v>
      </c>
    </row>
    <row r="232" spans="1:31">
      <c r="A232" s="1" t="s">
        <v>135</v>
      </c>
      <c r="C232" s="1">
        <v>358080</v>
      </c>
      <c r="D232" s="1" t="s">
        <v>27</v>
      </c>
      <c r="E232" s="1">
        <v>11.5</v>
      </c>
      <c r="F232" s="1">
        <v>12.2</v>
      </c>
      <c r="G232" s="11">
        <v>-51.964491000000002</v>
      </c>
      <c r="H232" s="19">
        <v>-70.376484899999994</v>
      </c>
      <c r="I232" s="1" t="s">
        <v>64</v>
      </c>
      <c r="J232" s="1" t="s">
        <v>29</v>
      </c>
      <c r="K232" s="1">
        <v>3969</v>
      </c>
      <c r="L232" s="1">
        <v>3921</v>
      </c>
      <c r="M232" s="1">
        <f t="shared" si="23"/>
        <v>3945</v>
      </c>
      <c r="N232" s="4">
        <f t="shared" si="21"/>
        <v>0.98790627362055938</v>
      </c>
      <c r="O232" s="4">
        <f t="shared" si="24"/>
        <v>0.92949222463347503</v>
      </c>
      <c r="P232" s="4">
        <f t="shared" ref="P232:P254" si="25">E232/(((F232/(2*PI()))^2)*PI())</f>
        <v>0.97093027455744763</v>
      </c>
      <c r="Q232" s="14" t="s">
        <v>47</v>
      </c>
      <c r="R232" s="14" t="s">
        <v>48</v>
      </c>
      <c r="S232" s="14" t="s">
        <v>132</v>
      </c>
      <c r="U232" s="1" t="s">
        <v>133</v>
      </c>
      <c r="V232" s="1" t="s">
        <v>51</v>
      </c>
      <c r="W232" s="1">
        <v>100</v>
      </c>
      <c r="X232" s="1">
        <f>56+30</f>
        <v>86</v>
      </c>
      <c r="Y232" s="4">
        <f>X232/K232</f>
        <v>2.1667926429831192E-2</v>
      </c>
      <c r="Z232" s="1">
        <v>3400</v>
      </c>
      <c r="AA232" s="1" t="s">
        <v>53</v>
      </c>
      <c r="AB232" s="1" t="s">
        <v>65</v>
      </c>
      <c r="AD232" s="15">
        <v>95765</v>
      </c>
      <c r="AE232" s="1" t="s">
        <v>136</v>
      </c>
    </row>
    <row r="233" spans="1:31">
      <c r="A233" s="1" t="s">
        <v>382</v>
      </c>
      <c r="C233" s="1">
        <v>358080</v>
      </c>
      <c r="D233" s="1" t="s">
        <v>27</v>
      </c>
      <c r="E233" s="1">
        <v>4.21</v>
      </c>
      <c r="F233" s="1">
        <v>8.92</v>
      </c>
      <c r="G233" s="11">
        <v>-51.9955626</v>
      </c>
      <c r="H233" s="19">
        <v>-70.159731800000003</v>
      </c>
      <c r="I233" s="1" t="s">
        <v>64</v>
      </c>
      <c r="J233" s="1" t="s">
        <v>29</v>
      </c>
      <c r="K233" s="1">
        <v>3348</v>
      </c>
      <c r="L233" s="1">
        <v>1902</v>
      </c>
      <c r="M233" s="1">
        <f t="shared" si="23"/>
        <v>2625</v>
      </c>
      <c r="N233" s="4">
        <f t="shared" si="21"/>
        <v>0.56810035842293904</v>
      </c>
      <c r="O233" s="4">
        <f t="shared" si="24"/>
        <v>0.47821293150059407</v>
      </c>
      <c r="P233" s="4">
        <f t="shared" si="25"/>
        <v>0.66490906068958899</v>
      </c>
      <c r="Q233" s="14" t="s">
        <v>47</v>
      </c>
      <c r="R233" s="14" t="s">
        <v>48</v>
      </c>
      <c r="S233" s="14" t="s">
        <v>132</v>
      </c>
      <c r="V233" s="1" t="s">
        <v>51</v>
      </c>
      <c r="W233" s="1">
        <v>100</v>
      </c>
      <c r="Z233" s="1" t="s">
        <v>383</v>
      </c>
      <c r="AA233" s="1" t="s">
        <v>53</v>
      </c>
      <c r="AB233" s="1" t="s">
        <v>48</v>
      </c>
      <c r="AC233" s="15">
        <v>288</v>
      </c>
      <c r="AD233" s="15">
        <v>95765</v>
      </c>
      <c r="AE233" s="18" t="s">
        <v>384</v>
      </c>
    </row>
    <row r="234" spans="1:31">
      <c r="A234" s="1" t="s">
        <v>385</v>
      </c>
      <c r="C234" s="1">
        <v>358080</v>
      </c>
      <c r="D234" s="1" t="s">
        <v>27</v>
      </c>
      <c r="E234" s="1">
        <v>5.75</v>
      </c>
      <c r="F234" s="1">
        <v>10.7</v>
      </c>
      <c r="G234" s="11">
        <v>-52.0672815</v>
      </c>
      <c r="H234" s="19">
        <v>-69.7922145</v>
      </c>
      <c r="I234" s="1" t="s">
        <v>64</v>
      </c>
      <c r="J234" s="1" t="s">
        <v>29</v>
      </c>
      <c r="K234" s="1">
        <v>4048</v>
      </c>
      <c r="L234" s="1">
        <v>1839</v>
      </c>
      <c r="M234" s="1">
        <f t="shared" si="23"/>
        <v>2943.5</v>
      </c>
      <c r="N234" s="4">
        <f t="shared" si="21"/>
        <v>0.45429841897233203</v>
      </c>
      <c r="O234" s="4">
        <f t="shared" si="24"/>
        <v>0.44678332479534044</v>
      </c>
      <c r="P234" s="4">
        <f t="shared" si="25"/>
        <v>0.63111739918390464</v>
      </c>
      <c r="Q234" s="14" t="s">
        <v>47</v>
      </c>
      <c r="R234" s="14" t="s">
        <v>48</v>
      </c>
      <c r="S234" s="14" t="s">
        <v>132</v>
      </c>
      <c r="V234" s="1" t="s">
        <v>51</v>
      </c>
      <c r="W234" s="1">
        <v>100</v>
      </c>
      <c r="AA234" s="1" t="s">
        <v>53</v>
      </c>
      <c r="AB234" s="1" t="s">
        <v>48</v>
      </c>
      <c r="AD234" s="15">
        <v>95765</v>
      </c>
      <c r="AE234" s="18" t="s">
        <v>134</v>
      </c>
    </row>
    <row r="235" spans="1:31">
      <c r="A235" s="1" t="s">
        <v>131</v>
      </c>
      <c r="C235" s="1">
        <v>358080</v>
      </c>
      <c r="D235" s="1" t="s">
        <v>27</v>
      </c>
      <c r="E235" s="1">
        <v>0.39</v>
      </c>
      <c r="F235" s="1">
        <v>2.4300000000000002</v>
      </c>
      <c r="G235" s="11">
        <v>-52.078321099999997</v>
      </c>
      <c r="H235" s="19">
        <v>-69.582556999999994</v>
      </c>
      <c r="I235" s="1" t="s">
        <v>64</v>
      </c>
      <c r="J235" s="1" t="s">
        <v>29</v>
      </c>
      <c r="K235" s="1">
        <v>762</v>
      </c>
      <c r="L235" s="1">
        <v>657</v>
      </c>
      <c r="M235" s="1">
        <f t="shared" si="23"/>
        <v>709.5</v>
      </c>
      <c r="N235" s="4">
        <f t="shared" si="21"/>
        <v>0.86220472440944884</v>
      </c>
      <c r="O235" s="4">
        <f t="shared" si="24"/>
        <v>0.85519427126899339</v>
      </c>
      <c r="P235" s="4">
        <f t="shared" si="25"/>
        <v>0.82996910017105741</v>
      </c>
      <c r="Q235" s="14" t="s">
        <v>47</v>
      </c>
      <c r="R235" s="14" t="s">
        <v>48</v>
      </c>
      <c r="S235" s="14" t="s">
        <v>132</v>
      </c>
      <c r="U235" s="1" t="s">
        <v>133</v>
      </c>
      <c r="V235" s="1" t="s">
        <v>51</v>
      </c>
      <c r="W235" s="1">
        <v>100</v>
      </c>
      <c r="X235" s="1">
        <v>114</v>
      </c>
      <c r="Y235" s="4">
        <f>X235/K235</f>
        <v>0.14960629921259844</v>
      </c>
      <c r="Z235" s="1">
        <v>770000</v>
      </c>
      <c r="AA235" s="1" t="s">
        <v>53</v>
      </c>
      <c r="AB235" s="24" t="s">
        <v>65</v>
      </c>
      <c r="AD235" s="15">
        <v>95765</v>
      </c>
      <c r="AE235" s="18" t="s">
        <v>134</v>
      </c>
    </row>
    <row r="236" spans="1:31" s="24" customFormat="1">
      <c r="A236" s="24" t="s">
        <v>692</v>
      </c>
      <c r="C236" s="24">
        <v>321803</v>
      </c>
      <c r="D236" s="24" t="s">
        <v>27</v>
      </c>
      <c r="E236" s="24">
        <v>0.48</v>
      </c>
      <c r="F236" s="24">
        <v>2.4700000000000002</v>
      </c>
      <c r="G236" s="40">
        <v>45.918531799999997</v>
      </c>
      <c r="H236" s="40">
        <v>-120.88184149999999</v>
      </c>
      <c r="I236" s="24" t="s">
        <v>28</v>
      </c>
      <c r="J236" s="24" t="s">
        <v>178</v>
      </c>
      <c r="K236" s="24">
        <v>799</v>
      </c>
      <c r="L236" s="24">
        <v>769</v>
      </c>
      <c r="M236" s="24">
        <f t="shared" si="23"/>
        <v>784</v>
      </c>
      <c r="N236" s="41">
        <f t="shared" si="21"/>
        <v>0.96245306633291616</v>
      </c>
      <c r="O236" s="41">
        <f t="shared" ref="O236:O254" si="26">1/(((PI()*((K236/2000))^2))/E236)</f>
        <v>0.95732146640258708</v>
      </c>
      <c r="P236" s="41">
        <f t="shared" si="25"/>
        <v>0.98868329179176884</v>
      </c>
      <c r="Q236" s="42" t="s">
        <v>30</v>
      </c>
      <c r="R236" s="42" t="s">
        <v>31</v>
      </c>
      <c r="S236" s="42" t="s">
        <v>820</v>
      </c>
      <c r="V236" s="24" t="s">
        <v>913</v>
      </c>
      <c r="Y236" s="41"/>
      <c r="AB236" s="24" t="s">
        <v>65</v>
      </c>
      <c r="AC236" s="43" t="s">
        <v>36</v>
      </c>
      <c r="AD236" s="43" t="s">
        <v>36</v>
      </c>
      <c r="AE236" s="44" t="s">
        <v>1180</v>
      </c>
    </row>
    <row r="237" spans="1:31">
      <c r="A237" s="24" t="s">
        <v>693</v>
      </c>
      <c r="C237" s="1">
        <v>321803</v>
      </c>
      <c r="D237" s="1" t="s">
        <v>27</v>
      </c>
      <c r="E237" s="35">
        <v>0.15</v>
      </c>
      <c r="F237" s="35">
        <v>1.41</v>
      </c>
      <c r="G237" s="9">
        <v>45.903585</v>
      </c>
      <c r="H237" s="9">
        <v>-120.8723013</v>
      </c>
      <c r="I237" s="35" t="s">
        <v>28</v>
      </c>
      <c r="J237" s="35" t="s">
        <v>187</v>
      </c>
      <c r="K237" s="45">
        <v>473</v>
      </c>
      <c r="L237" s="45">
        <v>423</v>
      </c>
      <c r="M237" s="35">
        <f t="shared" si="23"/>
        <v>448</v>
      </c>
      <c r="N237" s="4">
        <f t="shared" si="21"/>
        <v>0.89429175475687106</v>
      </c>
      <c r="O237" s="4">
        <f t="shared" si="26"/>
        <v>0.85364852884639186</v>
      </c>
      <c r="P237" s="4">
        <f t="shared" si="25"/>
        <v>0.94811910475020156</v>
      </c>
      <c r="Q237" s="1" t="s">
        <v>30</v>
      </c>
      <c r="R237" s="1" t="s">
        <v>31</v>
      </c>
      <c r="S237" s="4" t="s">
        <v>820</v>
      </c>
      <c r="V237" s="24" t="s">
        <v>913</v>
      </c>
      <c r="X237" s="4"/>
      <c r="Y237" s="4"/>
      <c r="AB237" s="24" t="s">
        <v>65</v>
      </c>
      <c r="AC237" s="15" t="s">
        <v>36</v>
      </c>
      <c r="AD237" s="15" t="s">
        <v>36</v>
      </c>
      <c r="AE237" s="44" t="s">
        <v>1180</v>
      </c>
    </row>
    <row r="238" spans="1:31">
      <c r="A238" s="24" t="s">
        <v>701</v>
      </c>
      <c r="C238" s="1">
        <v>341092</v>
      </c>
      <c r="D238" s="1" t="s">
        <v>27</v>
      </c>
      <c r="E238" s="1">
        <v>0.69</v>
      </c>
      <c r="F238" s="1">
        <v>2.97</v>
      </c>
      <c r="G238" s="9">
        <v>19.079477399999998</v>
      </c>
      <c r="H238" s="9">
        <v>-97.465429099999994</v>
      </c>
      <c r="I238" s="1" t="s">
        <v>45</v>
      </c>
      <c r="J238" s="1" t="s">
        <v>329</v>
      </c>
      <c r="K238" s="1">
        <v>948</v>
      </c>
      <c r="L238" s="1">
        <v>902</v>
      </c>
      <c r="M238" s="1">
        <f t="shared" si="23"/>
        <v>925</v>
      </c>
      <c r="N238" s="4">
        <f t="shared" si="21"/>
        <v>0.95147679324894519</v>
      </c>
      <c r="O238" s="4">
        <f t="shared" si="26"/>
        <v>0.97755800115195024</v>
      </c>
      <c r="P238" s="4">
        <f t="shared" si="25"/>
        <v>0.98298311100996805</v>
      </c>
      <c r="Q238" s="1" t="s">
        <v>47</v>
      </c>
      <c r="R238" s="1" t="s">
        <v>744</v>
      </c>
      <c r="S238" s="1" t="s">
        <v>49</v>
      </c>
      <c r="V238" s="24" t="s">
        <v>913</v>
      </c>
      <c r="AB238" s="24" t="s">
        <v>65</v>
      </c>
      <c r="AC238" s="15">
        <v>93158</v>
      </c>
      <c r="AD238" s="15">
        <v>7672879</v>
      </c>
      <c r="AE238" s="18" t="s">
        <v>43</v>
      </c>
    </row>
    <row r="239" spans="1:31">
      <c r="A239" s="24" t="s">
        <v>702</v>
      </c>
      <c r="C239" s="1">
        <v>341092</v>
      </c>
      <c r="D239" s="1" t="s">
        <v>27</v>
      </c>
      <c r="E239" s="1">
        <v>0.79</v>
      </c>
      <c r="F239" s="1">
        <v>3.17</v>
      </c>
      <c r="G239" s="9">
        <v>19.0926571</v>
      </c>
      <c r="H239" s="9">
        <v>-97.476954500000005</v>
      </c>
      <c r="I239" s="1" t="s">
        <v>45</v>
      </c>
      <c r="J239" s="1" t="s">
        <v>329</v>
      </c>
      <c r="K239" s="1">
        <v>1048</v>
      </c>
      <c r="L239" s="1">
        <v>953</v>
      </c>
      <c r="M239" s="1">
        <f t="shared" si="23"/>
        <v>1000.5</v>
      </c>
      <c r="N239" s="4">
        <f t="shared" si="21"/>
        <v>0.90935114503816794</v>
      </c>
      <c r="O239" s="4">
        <f t="shared" si="26"/>
        <v>0.91582953384561872</v>
      </c>
      <c r="P239" s="4">
        <f t="shared" si="25"/>
        <v>0.98791238696213002</v>
      </c>
      <c r="Q239" s="1" t="s">
        <v>47</v>
      </c>
      <c r="R239" s="1" t="s">
        <v>744</v>
      </c>
      <c r="S239" s="1" t="s">
        <v>49</v>
      </c>
      <c r="V239" s="24" t="s">
        <v>913</v>
      </c>
      <c r="AB239" s="24" t="s">
        <v>65</v>
      </c>
      <c r="AC239" s="15">
        <v>93158</v>
      </c>
      <c r="AD239" s="15">
        <v>7672879</v>
      </c>
      <c r="AE239" s="18" t="s">
        <v>43</v>
      </c>
    </row>
    <row r="240" spans="1:31" s="24" customFormat="1">
      <c r="A240" s="24" t="s">
        <v>703</v>
      </c>
      <c r="B240" s="24" t="s">
        <v>704</v>
      </c>
      <c r="C240" s="24">
        <v>213001</v>
      </c>
      <c r="D240" s="24" t="s">
        <v>27</v>
      </c>
      <c r="E240" s="24">
        <v>2.1</v>
      </c>
      <c r="F240" s="24">
        <v>5.41</v>
      </c>
      <c r="G240" s="40">
        <v>37.712834000000001</v>
      </c>
      <c r="H240" s="40">
        <v>33.6668035</v>
      </c>
      <c r="I240" s="24" t="s">
        <v>556</v>
      </c>
      <c r="J240" s="24" t="s">
        <v>187</v>
      </c>
      <c r="K240" s="24">
        <v>1922</v>
      </c>
      <c r="L240" s="24">
        <v>1535</v>
      </c>
      <c r="M240" s="1">
        <f t="shared" si="23"/>
        <v>1728.5</v>
      </c>
      <c r="N240" s="41">
        <f t="shared" si="21"/>
        <v>0.79864724245577523</v>
      </c>
      <c r="O240" s="41">
        <f t="shared" si="26"/>
        <v>0.7238067796898614</v>
      </c>
      <c r="P240" s="41">
        <f t="shared" si="25"/>
        <v>0.90164302739686775</v>
      </c>
      <c r="Q240" s="24" t="s">
        <v>47</v>
      </c>
      <c r="R240" s="24" t="s">
        <v>48</v>
      </c>
      <c r="S240" s="46" t="s">
        <v>696</v>
      </c>
      <c r="V240" s="24" t="s">
        <v>51</v>
      </c>
      <c r="AA240" s="24" t="s">
        <v>53</v>
      </c>
      <c r="AB240" s="24" t="s">
        <v>65</v>
      </c>
      <c r="AC240" s="43">
        <v>46013</v>
      </c>
      <c r="AD240" s="43">
        <v>1220961</v>
      </c>
      <c r="AE240" s="24" t="s">
        <v>1027</v>
      </c>
    </row>
    <row r="241" spans="1:39">
      <c r="A241" s="24" t="s">
        <v>694</v>
      </c>
      <c r="D241" s="1" t="s">
        <v>27</v>
      </c>
      <c r="E241" s="1">
        <v>1.1499999999999999</v>
      </c>
      <c r="F241" s="1">
        <v>3.85</v>
      </c>
      <c r="G241" s="9">
        <v>-2.9591045999999999</v>
      </c>
      <c r="H241" s="9">
        <v>35.984172200000003</v>
      </c>
      <c r="I241" s="1" t="s">
        <v>149</v>
      </c>
      <c r="J241" s="1" t="s">
        <v>29</v>
      </c>
      <c r="K241" s="1">
        <v>1345</v>
      </c>
      <c r="L241" s="1">
        <v>1111</v>
      </c>
      <c r="M241" s="1">
        <f t="shared" si="23"/>
        <v>1228</v>
      </c>
      <c r="N241" s="4">
        <f t="shared" si="21"/>
        <v>0.82602230483271377</v>
      </c>
      <c r="O241" s="47">
        <f t="shared" si="26"/>
        <v>0.80940035458074777</v>
      </c>
      <c r="P241" s="4">
        <f t="shared" si="25"/>
        <v>0.97495875908335627</v>
      </c>
      <c r="Q241" s="1" t="s">
        <v>30</v>
      </c>
      <c r="R241" s="1" t="s">
        <v>48</v>
      </c>
      <c r="S241" s="14" t="s">
        <v>150</v>
      </c>
      <c r="V241" s="1" t="s">
        <v>915</v>
      </c>
      <c r="AB241" s="1" t="s">
        <v>65</v>
      </c>
      <c r="AC241" s="15" t="s">
        <v>36</v>
      </c>
      <c r="AD241" s="15" t="s">
        <v>36</v>
      </c>
      <c r="AE241" s="18" t="s">
        <v>154</v>
      </c>
    </row>
    <row r="242" spans="1:39" ht="15" customHeight="1">
      <c r="A242" s="24" t="s">
        <v>735</v>
      </c>
      <c r="C242" s="1">
        <v>222170</v>
      </c>
      <c r="D242" s="1" t="s">
        <v>27</v>
      </c>
      <c r="E242" s="1">
        <v>0.38</v>
      </c>
      <c r="F242" s="1">
        <v>2.2599999999999998</v>
      </c>
      <c r="G242" s="48">
        <v>-9.3156475000000007</v>
      </c>
      <c r="H242" s="9">
        <v>33.852053499999997</v>
      </c>
      <c r="I242" s="1" t="s">
        <v>149</v>
      </c>
      <c r="J242" s="1" t="s">
        <v>178</v>
      </c>
      <c r="K242" s="1">
        <v>799</v>
      </c>
      <c r="L242" s="1">
        <v>627</v>
      </c>
      <c r="M242" s="1">
        <f t="shared" si="23"/>
        <v>713</v>
      </c>
      <c r="N242" s="4">
        <f t="shared" si="21"/>
        <v>0.78473091364205261</v>
      </c>
      <c r="O242" s="4">
        <f t="shared" si="26"/>
        <v>0.75787949423538148</v>
      </c>
      <c r="P242" s="4">
        <f t="shared" si="25"/>
        <v>0.93492458952472512</v>
      </c>
      <c r="Q242" s="1" t="s">
        <v>30</v>
      </c>
      <c r="R242" s="1" t="s">
        <v>48</v>
      </c>
      <c r="S242" s="1" t="s">
        <v>540</v>
      </c>
      <c r="V242" s="1" t="s">
        <v>695</v>
      </c>
      <c r="AB242" s="1" t="s">
        <v>65</v>
      </c>
      <c r="AC242" s="15">
        <v>644</v>
      </c>
      <c r="AD242" s="15">
        <v>2299914</v>
      </c>
      <c r="AE242" s="1" t="s">
        <v>542</v>
      </c>
    </row>
    <row r="243" spans="1:39" ht="15" customHeight="1">
      <c r="A243" s="24" t="s">
        <v>705</v>
      </c>
      <c r="C243" s="1">
        <v>213020</v>
      </c>
      <c r="D243" s="1" t="s">
        <v>27</v>
      </c>
      <c r="E243" s="1">
        <v>0.06</v>
      </c>
      <c r="F243" s="1">
        <v>0.89</v>
      </c>
      <c r="G243" s="9">
        <v>38.622269199999998</v>
      </c>
      <c r="H243" s="9">
        <v>42.2521761</v>
      </c>
      <c r="I243" s="1" t="s">
        <v>556</v>
      </c>
      <c r="J243" s="1" t="s">
        <v>29</v>
      </c>
      <c r="K243" s="1">
        <v>302</v>
      </c>
      <c r="L243" s="1">
        <v>246</v>
      </c>
      <c r="M243" s="1">
        <f t="shared" si="23"/>
        <v>274</v>
      </c>
      <c r="N243" s="4">
        <f t="shared" si="21"/>
        <v>0.81456953642384111</v>
      </c>
      <c r="O243" s="4">
        <f t="shared" si="26"/>
        <v>0.83762085746359571</v>
      </c>
      <c r="P243" s="4">
        <f t="shared" si="25"/>
        <v>0.95187758725104221</v>
      </c>
      <c r="Q243" s="1" t="s">
        <v>30</v>
      </c>
      <c r="R243" s="1" t="s">
        <v>31</v>
      </c>
      <c r="S243" s="1" t="s">
        <v>916</v>
      </c>
      <c r="V243" s="1" t="s">
        <v>51</v>
      </c>
      <c r="Z243" s="1" t="s">
        <v>1051</v>
      </c>
      <c r="AA243" s="1" t="s">
        <v>706</v>
      </c>
      <c r="AB243" s="1" t="s">
        <v>65</v>
      </c>
      <c r="AC243" s="15">
        <v>608</v>
      </c>
      <c r="AD243" s="15">
        <v>1618263</v>
      </c>
      <c r="AE243" s="18" t="s">
        <v>707</v>
      </c>
    </row>
    <row r="244" spans="1:39" s="3" customFormat="1" ht="15" customHeight="1">
      <c r="A244" s="24" t="s">
        <v>708</v>
      </c>
      <c r="B244" s="1"/>
      <c r="C244" s="1">
        <v>213020</v>
      </c>
      <c r="D244" s="1" t="s">
        <v>27</v>
      </c>
      <c r="E244" s="1">
        <v>0.26</v>
      </c>
      <c r="F244" s="1">
        <v>2.1</v>
      </c>
      <c r="G244" s="9">
        <v>38.613689999999998</v>
      </c>
      <c r="H244" s="9">
        <v>42.258225299999999</v>
      </c>
      <c r="I244" s="1" t="s">
        <v>556</v>
      </c>
      <c r="J244" s="1" t="s">
        <v>29</v>
      </c>
      <c r="K244" s="1">
        <v>825</v>
      </c>
      <c r="L244" s="1">
        <v>389</v>
      </c>
      <c r="M244" s="1">
        <f t="shared" si="23"/>
        <v>607</v>
      </c>
      <c r="N244" s="4">
        <f t="shared" si="21"/>
        <v>0.4715151515151515</v>
      </c>
      <c r="O244" s="4">
        <f t="shared" si="26"/>
        <v>0.48637984445346905</v>
      </c>
      <c r="P244" s="4">
        <f t="shared" si="25"/>
        <v>0.74087445798942964</v>
      </c>
      <c r="Q244" s="1" t="s">
        <v>30</v>
      </c>
      <c r="R244" s="1" t="s">
        <v>31</v>
      </c>
      <c r="S244" s="1" t="s">
        <v>916</v>
      </c>
      <c r="T244" s="1"/>
      <c r="U244" s="1"/>
      <c r="V244" s="1" t="s">
        <v>51</v>
      </c>
      <c r="W244" s="1"/>
      <c r="X244" s="1"/>
      <c r="Y244" s="1"/>
      <c r="Z244" s="1" t="s">
        <v>1051</v>
      </c>
      <c r="AA244" s="1"/>
      <c r="AB244" s="1" t="s">
        <v>65</v>
      </c>
      <c r="AC244" s="15">
        <v>608</v>
      </c>
      <c r="AD244" s="15">
        <v>1618263</v>
      </c>
      <c r="AE244" s="18" t="s">
        <v>707</v>
      </c>
      <c r="AF244" s="1"/>
      <c r="AG244" s="1"/>
      <c r="AH244" s="1"/>
    </row>
    <row r="245" spans="1:39" ht="15" customHeight="1">
      <c r="A245" s="24" t="s">
        <v>697</v>
      </c>
      <c r="B245" s="1" t="s">
        <v>732</v>
      </c>
      <c r="C245" s="1">
        <v>213021</v>
      </c>
      <c r="D245" s="1" t="s">
        <v>27</v>
      </c>
      <c r="E245" s="1">
        <v>2.91</v>
      </c>
      <c r="F245" s="1">
        <v>6.14</v>
      </c>
      <c r="G245" s="9">
        <v>38.838828700000001</v>
      </c>
      <c r="H245" s="9">
        <v>42.823174600000002</v>
      </c>
      <c r="I245" s="1" t="s">
        <v>556</v>
      </c>
      <c r="J245" s="1" t="s">
        <v>698</v>
      </c>
      <c r="K245" s="1">
        <v>2065</v>
      </c>
      <c r="L245" s="1">
        <v>1805</v>
      </c>
      <c r="M245" s="1">
        <f t="shared" si="23"/>
        <v>1935</v>
      </c>
      <c r="N245" s="4">
        <f t="shared" si="21"/>
        <v>0.87409200968523004</v>
      </c>
      <c r="O245" s="4">
        <f t="shared" si="26"/>
        <v>0.8688863920593598</v>
      </c>
      <c r="P245" s="4">
        <f t="shared" si="25"/>
        <v>0.96998743986103819</v>
      </c>
      <c r="Q245" s="1" t="s">
        <v>30</v>
      </c>
      <c r="R245" s="1" t="s">
        <v>65</v>
      </c>
      <c r="S245" s="1" t="s">
        <v>699</v>
      </c>
      <c r="V245" s="1" t="s">
        <v>51</v>
      </c>
      <c r="W245" s="1">
        <v>1940</v>
      </c>
      <c r="AB245" s="1" t="s">
        <v>65</v>
      </c>
      <c r="AC245" s="15">
        <v>158</v>
      </c>
      <c r="AD245" s="15">
        <v>1759980</v>
      </c>
      <c r="AE245" s="18" t="s">
        <v>734</v>
      </c>
      <c r="AF245" s="18"/>
    </row>
    <row r="246" spans="1:39" ht="15" customHeight="1">
      <c r="A246" s="24" t="s">
        <v>700</v>
      </c>
      <c r="B246" s="29" t="s">
        <v>132</v>
      </c>
      <c r="C246" s="1">
        <v>358080</v>
      </c>
      <c r="D246" s="1" t="s">
        <v>27</v>
      </c>
      <c r="E246" s="1">
        <v>1.19</v>
      </c>
      <c r="F246" s="1">
        <v>4.12</v>
      </c>
      <c r="G246" s="9">
        <v>-52.118028000000002</v>
      </c>
      <c r="H246" s="9">
        <v>-69.260462000000004</v>
      </c>
      <c r="I246" s="1" t="s">
        <v>64</v>
      </c>
      <c r="J246" s="1" t="s">
        <v>29</v>
      </c>
      <c r="K246" s="1">
        <v>1583</v>
      </c>
      <c r="L246" s="1">
        <v>935</v>
      </c>
      <c r="M246" s="1">
        <f t="shared" si="23"/>
        <v>1259</v>
      </c>
      <c r="N246" s="4">
        <f t="shared" si="21"/>
        <v>0.59065066329753635</v>
      </c>
      <c r="O246" s="4">
        <f t="shared" si="26"/>
        <v>0.6046377386368047</v>
      </c>
      <c r="P246" s="4">
        <f t="shared" si="25"/>
        <v>0.88097258407292245</v>
      </c>
      <c r="Q246" s="1" t="s">
        <v>47</v>
      </c>
      <c r="R246" s="1" t="s">
        <v>48</v>
      </c>
      <c r="S246" s="1" t="s">
        <v>132</v>
      </c>
      <c r="V246" s="1" t="s">
        <v>34</v>
      </c>
      <c r="Y246" s="1">
        <v>40</v>
      </c>
      <c r="AB246" s="1" t="s">
        <v>48</v>
      </c>
      <c r="AC246" s="15">
        <v>288</v>
      </c>
      <c r="AD246" s="15">
        <v>95765</v>
      </c>
      <c r="AE246" s="18" t="s">
        <v>917</v>
      </c>
    </row>
    <row r="247" spans="1:39" ht="15" customHeight="1">
      <c r="A247" s="24" t="s">
        <v>718</v>
      </c>
      <c r="C247" s="1">
        <v>341060</v>
      </c>
      <c r="D247" s="1" t="s">
        <v>27</v>
      </c>
      <c r="E247" s="49">
        <v>2.52</v>
      </c>
      <c r="F247" s="35">
        <v>5.75</v>
      </c>
      <c r="G247" s="9">
        <v>20.325396699999999</v>
      </c>
      <c r="H247" s="9">
        <v>-101.2075095</v>
      </c>
      <c r="I247" s="35" t="s">
        <v>45</v>
      </c>
      <c r="J247" s="35" t="s">
        <v>29</v>
      </c>
      <c r="K247" s="45">
        <v>1948</v>
      </c>
      <c r="L247" s="45">
        <v>1769</v>
      </c>
      <c r="M247" s="1">
        <f t="shared" si="23"/>
        <v>1858.5</v>
      </c>
      <c r="N247" s="4">
        <f t="shared" si="21"/>
        <v>0.90811088295687881</v>
      </c>
      <c r="O247" s="4">
        <f t="shared" si="26"/>
        <v>0.84553726792198036</v>
      </c>
      <c r="P247" s="4">
        <f t="shared" si="25"/>
        <v>0.95779974134397328</v>
      </c>
      <c r="Q247" s="14" t="s">
        <v>47</v>
      </c>
      <c r="R247" s="1" t="s">
        <v>48</v>
      </c>
      <c r="S247" s="4" t="s">
        <v>211</v>
      </c>
      <c r="V247" s="1" t="s">
        <v>671</v>
      </c>
      <c r="W247" s="1">
        <v>1720</v>
      </c>
      <c r="X247" s="4"/>
      <c r="Y247" s="4"/>
      <c r="Z247" s="1" t="s">
        <v>672</v>
      </c>
      <c r="AA247" s="1" t="s">
        <v>53</v>
      </c>
      <c r="AB247" s="24" t="s">
        <v>65</v>
      </c>
      <c r="AC247" s="15">
        <v>141058</v>
      </c>
      <c r="AD247" s="15">
        <v>5783287</v>
      </c>
      <c r="AE247" s="24" t="s">
        <v>721</v>
      </c>
    </row>
    <row r="248" spans="1:39" ht="15" customHeight="1">
      <c r="A248" s="24" t="s">
        <v>719</v>
      </c>
      <c r="C248" s="1">
        <v>341060</v>
      </c>
      <c r="D248" s="1" t="s">
        <v>27</v>
      </c>
      <c r="E248" s="1">
        <v>0.4</v>
      </c>
      <c r="F248" s="1">
        <v>2.2599999999999998</v>
      </c>
      <c r="G248" s="9">
        <v>20.389241999999999</v>
      </c>
      <c r="H248" s="9">
        <v>-101.2014401</v>
      </c>
      <c r="I248" s="1" t="s">
        <v>45</v>
      </c>
      <c r="J248" s="1" t="s">
        <v>46</v>
      </c>
      <c r="K248" s="1">
        <v>758</v>
      </c>
      <c r="L248" s="1">
        <v>667</v>
      </c>
      <c r="M248" s="1">
        <f t="shared" si="23"/>
        <v>712.5</v>
      </c>
      <c r="N248" s="4">
        <f t="shared" si="21"/>
        <v>0.87994722955145122</v>
      </c>
      <c r="O248" s="4">
        <f t="shared" si="26"/>
        <v>0.88640398266174902</v>
      </c>
      <c r="P248" s="4">
        <f t="shared" si="25"/>
        <v>0.98413114686813186</v>
      </c>
      <c r="Q248" s="14" t="s">
        <v>47</v>
      </c>
      <c r="R248" s="14" t="s">
        <v>48</v>
      </c>
      <c r="S248" s="14" t="s">
        <v>211</v>
      </c>
      <c r="V248" s="1" t="s">
        <v>671</v>
      </c>
      <c r="W248" s="1">
        <v>1720</v>
      </c>
      <c r="Y248" s="4"/>
      <c r="Z248" s="1" t="s">
        <v>672</v>
      </c>
      <c r="AA248" s="1" t="s">
        <v>53</v>
      </c>
      <c r="AB248" s="24" t="s">
        <v>65</v>
      </c>
      <c r="AC248" s="15">
        <v>141058</v>
      </c>
      <c r="AD248" s="15">
        <v>5783287</v>
      </c>
      <c r="AE248" s="1" t="s">
        <v>721</v>
      </c>
      <c r="AJ248" s="20"/>
      <c r="AL248" s="50"/>
      <c r="AM248" s="50"/>
    </row>
    <row r="249" spans="1:39" ht="15" customHeight="1">
      <c r="A249" s="24" t="s">
        <v>1194</v>
      </c>
      <c r="C249" s="1">
        <v>341060</v>
      </c>
      <c r="D249" s="1" t="s">
        <v>27</v>
      </c>
      <c r="E249" s="35">
        <v>1.1200000000000001</v>
      </c>
      <c r="F249" s="35">
        <v>3.8</v>
      </c>
      <c r="G249" s="9">
        <v>20.387690899999999</v>
      </c>
      <c r="H249" s="9">
        <v>-101.2267191</v>
      </c>
      <c r="I249" s="1" t="s">
        <v>45</v>
      </c>
      <c r="J249" s="35" t="s">
        <v>720</v>
      </c>
      <c r="K249" s="45">
        <v>1230</v>
      </c>
      <c r="L249" s="45">
        <v>1148</v>
      </c>
      <c r="M249" s="1">
        <f t="shared" si="23"/>
        <v>1189</v>
      </c>
      <c r="N249" s="4">
        <f t="shared" si="21"/>
        <v>0.93333333333333335</v>
      </c>
      <c r="O249" s="4">
        <f t="shared" si="26"/>
        <v>0.94257934437397217</v>
      </c>
      <c r="P249" s="4">
        <f t="shared" si="25"/>
        <v>0.97467694515805214</v>
      </c>
      <c r="Q249" s="14" t="s">
        <v>47</v>
      </c>
      <c r="R249" s="1" t="s">
        <v>48</v>
      </c>
      <c r="S249" s="4" t="s">
        <v>211</v>
      </c>
      <c r="T249" s="1" t="s">
        <v>129</v>
      </c>
      <c r="V249" s="1" t="s">
        <v>671</v>
      </c>
      <c r="W249" s="1">
        <v>1720</v>
      </c>
      <c r="X249" s="4"/>
      <c r="Y249" s="4"/>
      <c r="Z249" s="1" t="s">
        <v>672</v>
      </c>
      <c r="AA249" s="1" t="s">
        <v>181</v>
      </c>
      <c r="AB249" s="24" t="s">
        <v>65</v>
      </c>
      <c r="AC249" s="15">
        <v>141058</v>
      </c>
      <c r="AD249" s="15">
        <v>5783287</v>
      </c>
      <c r="AE249" s="1" t="s">
        <v>721</v>
      </c>
      <c r="AF249" s="1" t="s">
        <v>1195</v>
      </c>
    </row>
    <row r="250" spans="1:39" ht="15" customHeight="1">
      <c r="A250" s="24" t="s">
        <v>710</v>
      </c>
      <c r="C250" s="1">
        <v>341060</v>
      </c>
      <c r="D250" s="1" t="s">
        <v>27</v>
      </c>
      <c r="E250" s="1">
        <v>0.9</v>
      </c>
      <c r="F250" s="4">
        <v>3.53</v>
      </c>
      <c r="G250" s="9">
        <v>20.376598699999999</v>
      </c>
      <c r="H250" s="9">
        <v>-101.2183876</v>
      </c>
      <c r="I250" s="9" t="s">
        <v>45</v>
      </c>
      <c r="J250" s="1" t="s">
        <v>29</v>
      </c>
      <c r="K250" s="1">
        <v>1309</v>
      </c>
      <c r="L250" s="1">
        <v>1013</v>
      </c>
      <c r="M250" s="1">
        <f t="shared" si="23"/>
        <v>1161</v>
      </c>
      <c r="N250" s="4">
        <f t="shared" si="21"/>
        <v>0.77387318563789154</v>
      </c>
      <c r="O250" s="4">
        <f t="shared" si="26"/>
        <v>0.66876469027765506</v>
      </c>
      <c r="P250" s="4">
        <f t="shared" si="25"/>
        <v>0.90761771243836786</v>
      </c>
      <c r="Q250" s="4" t="s">
        <v>47</v>
      </c>
      <c r="R250" s="1" t="s">
        <v>48</v>
      </c>
      <c r="S250" s="4" t="s">
        <v>211</v>
      </c>
      <c r="V250" s="1" t="s">
        <v>671</v>
      </c>
      <c r="W250" s="1">
        <v>1720</v>
      </c>
      <c r="Z250" s="1" t="s">
        <v>672</v>
      </c>
      <c r="AA250" s="1" t="s">
        <v>181</v>
      </c>
      <c r="AB250" s="24" t="s">
        <v>65</v>
      </c>
      <c r="AC250" s="15">
        <v>141058</v>
      </c>
      <c r="AD250" s="15">
        <v>5783287</v>
      </c>
      <c r="AE250" s="1" t="s">
        <v>721</v>
      </c>
      <c r="AF250" s="18"/>
    </row>
    <row r="251" spans="1:39" ht="15" customHeight="1">
      <c r="A251" s="24" t="s">
        <v>722</v>
      </c>
      <c r="C251" s="1">
        <v>341060</v>
      </c>
      <c r="D251" s="1" t="s">
        <v>27</v>
      </c>
      <c r="E251" s="1">
        <v>2</v>
      </c>
      <c r="F251" s="4">
        <v>5.2</v>
      </c>
      <c r="G251" s="9">
        <v>20.387355800000002</v>
      </c>
      <c r="H251" s="9">
        <v>-101.25774060000001</v>
      </c>
      <c r="I251" s="9" t="s">
        <v>45</v>
      </c>
      <c r="J251" s="1" t="s">
        <v>29</v>
      </c>
      <c r="K251" s="1">
        <v>1832</v>
      </c>
      <c r="L251" s="1">
        <v>1473</v>
      </c>
      <c r="M251" s="1">
        <f t="shared" si="23"/>
        <v>1652.5</v>
      </c>
      <c r="N251" s="4">
        <f t="shared" si="21"/>
        <v>0.80403930131004364</v>
      </c>
      <c r="O251" s="4">
        <f t="shared" si="26"/>
        <v>0.75873335315828905</v>
      </c>
      <c r="P251" s="4">
        <f t="shared" si="25"/>
        <v>0.92946528212715773</v>
      </c>
      <c r="Q251" s="4" t="s">
        <v>47</v>
      </c>
      <c r="R251" s="1" t="s">
        <v>48</v>
      </c>
      <c r="S251" s="4" t="s">
        <v>211</v>
      </c>
      <c r="V251" s="1" t="s">
        <v>671</v>
      </c>
      <c r="W251" s="1">
        <v>1720</v>
      </c>
      <c r="Z251" s="1" t="s">
        <v>672</v>
      </c>
      <c r="AA251" s="1" t="s">
        <v>181</v>
      </c>
      <c r="AB251" s="24" t="s">
        <v>65</v>
      </c>
      <c r="AC251" s="15">
        <v>141058</v>
      </c>
      <c r="AD251" s="15">
        <v>5783287</v>
      </c>
      <c r="AE251" s="24" t="s">
        <v>721</v>
      </c>
      <c r="AF251" s="18"/>
    </row>
    <row r="252" spans="1:39" s="24" customFormat="1" ht="15" customHeight="1">
      <c r="A252" s="24" t="s">
        <v>723</v>
      </c>
      <c r="C252" s="24">
        <v>341060</v>
      </c>
      <c r="D252" s="24" t="s">
        <v>27</v>
      </c>
      <c r="E252" s="41">
        <v>0.27</v>
      </c>
      <c r="F252" s="41">
        <v>1.91</v>
      </c>
      <c r="G252" s="9">
        <v>20.366615700000001</v>
      </c>
      <c r="H252" s="9">
        <v>-101.2263337</v>
      </c>
      <c r="I252" s="24" t="s">
        <v>45</v>
      </c>
      <c r="J252" s="41" t="s">
        <v>29</v>
      </c>
      <c r="K252" s="51">
        <v>630</v>
      </c>
      <c r="L252" s="51">
        <v>535</v>
      </c>
      <c r="M252" s="1">
        <f t="shared" si="23"/>
        <v>582.5</v>
      </c>
      <c r="N252" s="41">
        <f t="shared" si="21"/>
        <v>0.84920634920634919</v>
      </c>
      <c r="O252" s="41">
        <f t="shared" si="26"/>
        <v>0.86614935015997474</v>
      </c>
      <c r="P252" s="41">
        <f t="shared" si="25"/>
        <v>0.93005127761765771</v>
      </c>
      <c r="Q252" s="42" t="s">
        <v>47</v>
      </c>
      <c r="R252" s="24" t="s">
        <v>48</v>
      </c>
      <c r="S252" s="41" t="s">
        <v>211</v>
      </c>
      <c r="T252" s="41"/>
      <c r="V252" s="24" t="s">
        <v>671</v>
      </c>
      <c r="W252" s="24">
        <v>1720</v>
      </c>
      <c r="X252" s="41"/>
      <c r="Y252" s="41"/>
      <c r="Z252" s="24" t="s">
        <v>672</v>
      </c>
      <c r="AA252" s="24" t="s">
        <v>53</v>
      </c>
      <c r="AB252" s="24" t="s">
        <v>65</v>
      </c>
      <c r="AC252" s="43">
        <v>141058</v>
      </c>
      <c r="AD252" s="43">
        <v>5783287</v>
      </c>
      <c r="AE252" s="24" t="s">
        <v>721</v>
      </c>
    </row>
    <row r="253" spans="1:39" ht="15" customHeight="1">
      <c r="A253" s="33" t="s">
        <v>725</v>
      </c>
      <c r="B253" s="9" t="s">
        <v>727</v>
      </c>
      <c r="C253" s="1">
        <v>341060</v>
      </c>
      <c r="D253" s="1" t="s">
        <v>27</v>
      </c>
      <c r="E253" s="1">
        <v>0.69</v>
      </c>
      <c r="F253" s="4">
        <v>3</v>
      </c>
      <c r="G253" s="9">
        <v>19.840740700000001</v>
      </c>
      <c r="H253" s="9">
        <v>-102.16070670000001</v>
      </c>
      <c r="I253" s="9" t="s">
        <v>45</v>
      </c>
      <c r="J253" s="1" t="s">
        <v>329</v>
      </c>
      <c r="K253" s="1">
        <v>979</v>
      </c>
      <c r="L253" s="1">
        <v>869</v>
      </c>
      <c r="M253" s="1">
        <f t="shared" si="23"/>
        <v>924</v>
      </c>
      <c r="N253" s="4">
        <f t="shared" si="21"/>
        <v>0.88764044943820219</v>
      </c>
      <c r="O253" s="4">
        <f t="shared" si="26"/>
        <v>0.91662949087868961</v>
      </c>
      <c r="P253" s="4">
        <f t="shared" si="25"/>
        <v>0.96342174710086981</v>
      </c>
      <c r="Q253" s="42" t="s">
        <v>47</v>
      </c>
      <c r="R253" s="1" t="s">
        <v>48</v>
      </c>
      <c r="S253" s="14" t="s">
        <v>621</v>
      </c>
      <c r="V253" s="1" t="s">
        <v>34</v>
      </c>
      <c r="AB253" s="24" t="s">
        <v>65</v>
      </c>
      <c r="AC253" s="15">
        <v>5783287</v>
      </c>
      <c r="AD253" s="15">
        <v>5783287</v>
      </c>
      <c r="AE253" s="1" t="s">
        <v>1055</v>
      </c>
      <c r="AF253" s="18"/>
    </row>
    <row r="254" spans="1:39" ht="15" customHeight="1">
      <c r="A254" s="24" t="s">
        <v>726</v>
      </c>
      <c r="B254" s="9"/>
      <c r="C254" s="1">
        <v>341060</v>
      </c>
      <c r="D254" s="1" t="s">
        <v>27</v>
      </c>
      <c r="E254" s="1">
        <v>0.12</v>
      </c>
      <c r="F254" s="4">
        <v>1.28</v>
      </c>
      <c r="G254" s="9">
        <v>19.210978999999998</v>
      </c>
      <c r="H254" s="9">
        <v>-101.45874240000001</v>
      </c>
      <c r="I254" s="9" t="s">
        <v>45</v>
      </c>
      <c r="J254" s="1" t="s">
        <v>187</v>
      </c>
      <c r="K254" s="1">
        <v>440</v>
      </c>
      <c r="L254" s="1">
        <v>348</v>
      </c>
      <c r="M254" s="1">
        <f t="shared" si="23"/>
        <v>394</v>
      </c>
      <c r="N254" s="4">
        <f t="shared" si="21"/>
        <v>0.79090909090909089</v>
      </c>
      <c r="O254" s="4">
        <f t="shared" si="26"/>
        <v>0.78919806491848932</v>
      </c>
      <c r="P254" s="4">
        <f t="shared" si="25"/>
        <v>0.92038847273138447</v>
      </c>
      <c r="Q254" s="42" t="s">
        <v>47</v>
      </c>
      <c r="R254" s="1" t="s">
        <v>48</v>
      </c>
      <c r="S254" s="14" t="s">
        <v>621</v>
      </c>
      <c r="V254" s="1" t="s">
        <v>34</v>
      </c>
      <c r="AB254" s="24" t="s">
        <v>65</v>
      </c>
      <c r="AC254" s="15">
        <v>5783287</v>
      </c>
      <c r="AD254" s="15">
        <v>5783287</v>
      </c>
      <c r="AE254" s="1" t="s">
        <v>1055</v>
      </c>
      <c r="AF254" s="18"/>
    </row>
    <row r="255" spans="1:39" ht="15" customHeight="1">
      <c r="A255" s="24" t="s">
        <v>715</v>
      </c>
      <c r="B255" s="1" t="s">
        <v>478</v>
      </c>
      <c r="C255" s="1">
        <v>382001</v>
      </c>
      <c r="D255" s="1" t="s">
        <v>27</v>
      </c>
      <c r="E255" s="4">
        <v>0.240646</v>
      </c>
      <c r="F255" s="1">
        <v>1.782</v>
      </c>
      <c r="G255" s="9">
        <v>39.409936500000001</v>
      </c>
      <c r="H255" s="9">
        <v>-31.224811500000001</v>
      </c>
      <c r="I255" s="1" t="s">
        <v>477</v>
      </c>
      <c r="J255" s="1" t="s">
        <v>187</v>
      </c>
      <c r="K255" s="1">
        <v>629</v>
      </c>
      <c r="L255" s="1">
        <v>502</v>
      </c>
      <c r="M255" s="1">
        <f t="shared" si="23"/>
        <v>565.5</v>
      </c>
      <c r="N255" s="4">
        <v>0.81906300484652661</v>
      </c>
      <c r="O255" s="4">
        <v>0.79966385796659367</v>
      </c>
      <c r="P255" s="4">
        <v>0.95229852549156524</v>
      </c>
      <c r="Q255" s="1" t="s">
        <v>30</v>
      </c>
      <c r="R255" s="1" t="s">
        <v>65</v>
      </c>
      <c r="S255" s="1" t="s">
        <v>918</v>
      </c>
      <c r="V255" s="1" t="s">
        <v>51</v>
      </c>
      <c r="Y255" s="52"/>
      <c r="AB255" s="24" t="s">
        <v>65</v>
      </c>
      <c r="AC255" s="15">
        <v>1054</v>
      </c>
      <c r="AD255" s="15">
        <v>5865</v>
      </c>
      <c r="AE255" s="18" t="s">
        <v>1014</v>
      </c>
    </row>
    <row r="256" spans="1:39" ht="15" customHeight="1">
      <c r="A256" s="33" t="s">
        <v>711</v>
      </c>
      <c r="C256" s="53">
        <v>341809</v>
      </c>
      <c r="D256" s="1" t="s">
        <v>27</v>
      </c>
      <c r="E256" s="1">
        <v>0.81</v>
      </c>
      <c r="F256" s="1">
        <v>3.39</v>
      </c>
      <c r="G256" s="9">
        <v>22.3656118</v>
      </c>
      <c r="H256" s="9">
        <v>-100.779686</v>
      </c>
      <c r="I256" s="1" t="s">
        <v>45</v>
      </c>
      <c r="J256" s="1" t="s">
        <v>329</v>
      </c>
      <c r="K256" s="1">
        <v>1301</v>
      </c>
      <c r="L256" s="1">
        <v>826</v>
      </c>
      <c r="M256" s="1">
        <f t="shared" si="23"/>
        <v>1063.5</v>
      </c>
      <c r="N256" s="4">
        <f t="shared" ref="N256:N319" si="27">L256/K256</f>
        <v>0.63489623366641046</v>
      </c>
      <c r="O256" s="4">
        <f>1/(((PI()*((K256/2000))^2))/E256)</f>
        <v>0.60931314068435627</v>
      </c>
      <c r="P256" s="4">
        <f>E256/(((F256/(2*PI()))^2)*PI())</f>
        <v>0.88571803218131828</v>
      </c>
      <c r="Q256" s="4" t="s">
        <v>47</v>
      </c>
      <c r="R256" s="1" t="s">
        <v>48</v>
      </c>
      <c r="S256" s="1" t="s">
        <v>87</v>
      </c>
      <c r="V256" s="1" t="s">
        <v>51</v>
      </c>
      <c r="Z256" s="1" t="s">
        <v>1058</v>
      </c>
      <c r="AB256" s="24" t="s">
        <v>65</v>
      </c>
      <c r="AC256" s="1" t="s">
        <v>36</v>
      </c>
      <c r="AD256" s="15" t="s">
        <v>36</v>
      </c>
      <c r="AE256" s="15" t="s">
        <v>264</v>
      </c>
      <c r="AF256" s="18"/>
    </row>
    <row r="257" spans="1:31">
      <c r="A257" s="24" t="s">
        <v>728</v>
      </c>
      <c r="B257" s="1" t="s">
        <v>1020</v>
      </c>
      <c r="C257" s="1">
        <v>353090</v>
      </c>
      <c r="D257" s="1" t="s">
        <v>27</v>
      </c>
      <c r="E257" s="1">
        <v>0.28999999999999998</v>
      </c>
      <c r="F257" s="1">
        <v>1.91</v>
      </c>
      <c r="G257" s="9">
        <v>-0.24038219999999999</v>
      </c>
      <c r="H257" s="9">
        <v>-90.836195200000006</v>
      </c>
      <c r="I257" s="1" t="s">
        <v>729</v>
      </c>
      <c r="J257" s="1" t="s">
        <v>730</v>
      </c>
      <c r="K257" s="1">
        <v>633</v>
      </c>
      <c r="L257" s="1">
        <v>567</v>
      </c>
      <c r="M257" s="1">
        <f t="shared" si="23"/>
        <v>600</v>
      </c>
      <c r="N257" s="4">
        <f t="shared" si="27"/>
        <v>0.89573459715639814</v>
      </c>
      <c r="O257" s="4">
        <f>1/(((PI()*((K257/2000))^2))/E257)</f>
        <v>0.92151136660401756</v>
      </c>
      <c r="P257" s="4">
        <v>0.95229852549156524</v>
      </c>
      <c r="Q257" s="1" t="s">
        <v>30</v>
      </c>
      <c r="R257" s="1" t="s">
        <v>65</v>
      </c>
      <c r="S257" s="1" t="s">
        <v>919</v>
      </c>
      <c r="V257" s="1" t="s">
        <v>814</v>
      </c>
      <c r="W257" s="1">
        <v>920</v>
      </c>
      <c r="AB257" s="24" t="s">
        <v>65</v>
      </c>
      <c r="AC257" s="15">
        <v>4</v>
      </c>
      <c r="AD257" s="15">
        <v>120001</v>
      </c>
      <c r="AE257" s="18" t="s">
        <v>1015</v>
      </c>
    </row>
    <row r="258" spans="1:31" s="24" customFormat="1" ht="15" customHeight="1">
      <c r="A258" s="1" t="s">
        <v>914</v>
      </c>
      <c r="B258" s="24" t="s">
        <v>733</v>
      </c>
      <c r="C258" s="33">
        <v>221260</v>
      </c>
      <c r="D258" s="24" t="s">
        <v>27</v>
      </c>
      <c r="E258" s="24">
        <v>0.46</v>
      </c>
      <c r="F258" s="24">
        <v>2.4500000000000002</v>
      </c>
      <c r="G258" s="9">
        <v>8.0443136000000006</v>
      </c>
      <c r="H258" s="9">
        <v>38.351283700000003</v>
      </c>
      <c r="I258" s="24" t="s">
        <v>276</v>
      </c>
      <c r="J258" s="24" t="s">
        <v>187</v>
      </c>
      <c r="K258" s="24">
        <v>803</v>
      </c>
      <c r="L258" s="24">
        <v>725</v>
      </c>
      <c r="M258" s="1">
        <f t="shared" si="23"/>
        <v>764</v>
      </c>
      <c r="N258" s="4">
        <f t="shared" si="27"/>
        <v>0.90286425902864254</v>
      </c>
      <c r="O258" s="4">
        <f>1/(((PI()*((K258/2000))^2))/E258)</f>
        <v>0.90831578122851075</v>
      </c>
      <c r="P258" s="4">
        <v>0.95229852549156524</v>
      </c>
      <c r="Q258" s="24" t="s">
        <v>47</v>
      </c>
      <c r="R258" s="24" t="s">
        <v>65</v>
      </c>
      <c r="S258" s="24" t="s">
        <v>920</v>
      </c>
      <c r="V258" s="24" t="s">
        <v>772</v>
      </c>
      <c r="AB258" s="24" t="s">
        <v>65</v>
      </c>
      <c r="AC258" s="43">
        <v>431631</v>
      </c>
      <c r="AD258" s="43">
        <v>7096283</v>
      </c>
      <c r="AE258" s="44" t="s">
        <v>1179</v>
      </c>
    </row>
    <row r="259" spans="1:31" s="24" customFormat="1" ht="15" customHeight="1">
      <c r="A259" s="24" t="s">
        <v>731</v>
      </c>
      <c r="C259" s="24">
        <v>344111</v>
      </c>
      <c r="D259" s="24" t="s">
        <v>27</v>
      </c>
      <c r="E259" s="24">
        <v>0.41</v>
      </c>
      <c r="F259" s="24">
        <v>2.42</v>
      </c>
      <c r="G259" s="9">
        <v>11.767390900000001</v>
      </c>
      <c r="H259" s="9">
        <v>-85.856646900000001</v>
      </c>
      <c r="I259" s="24" t="s">
        <v>299</v>
      </c>
      <c r="J259" s="24" t="s">
        <v>187</v>
      </c>
      <c r="K259" s="24">
        <v>913</v>
      </c>
      <c r="L259" s="24">
        <v>556</v>
      </c>
      <c r="M259" s="1">
        <f t="shared" si="23"/>
        <v>734.5</v>
      </c>
      <c r="N259" s="4">
        <f t="shared" si="27"/>
        <v>0.60898138006571745</v>
      </c>
      <c r="O259" s="4">
        <f>1/(((PI()*((K259/2000))^2))/E259)</f>
        <v>0.62625675060063002</v>
      </c>
      <c r="P259" s="4">
        <v>0.95229852549156524</v>
      </c>
      <c r="Q259" s="24" t="s">
        <v>30</v>
      </c>
      <c r="R259" s="24" t="s">
        <v>65</v>
      </c>
      <c r="S259" s="24" t="s">
        <v>921</v>
      </c>
      <c r="V259" s="1" t="s">
        <v>741</v>
      </c>
      <c r="AB259" s="24" t="s">
        <v>65</v>
      </c>
      <c r="AC259" s="43">
        <v>136</v>
      </c>
      <c r="AD259" s="43">
        <v>2537550</v>
      </c>
      <c r="AE259" s="44" t="s">
        <v>43</v>
      </c>
    </row>
    <row r="260" spans="1:31" ht="15" customHeight="1">
      <c r="A260" s="24" t="s">
        <v>739</v>
      </c>
      <c r="C260" s="1">
        <v>355106</v>
      </c>
      <c r="D260" s="1" t="s">
        <v>27</v>
      </c>
      <c r="E260" s="1">
        <v>0.23</v>
      </c>
      <c r="F260" s="1">
        <v>1.71</v>
      </c>
      <c r="G260" s="9">
        <v>-24.168725599999998</v>
      </c>
      <c r="H260" s="9">
        <v>-68.220504199999993</v>
      </c>
      <c r="I260" s="1" t="s">
        <v>39</v>
      </c>
      <c r="J260" s="1" t="s">
        <v>29</v>
      </c>
      <c r="K260" s="1">
        <v>567</v>
      </c>
      <c r="L260" s="1">
        <v>551</v>
      </c>
      <c r="M260" s="1">
        <f t="shared" si="23"/>
        <v>559</v>
      </c>
      <c r="N260" s="4">
        <f t="shared" si="27"/>
        <v>0.97178130511463845</v>
      </c>
      <c r="O260" s="4">
        <f t="shared" ref="O260:O291" si="28">E260/(PI()*((K260/2000)^2))</f>
        <v>0.9109023801408056</v>
      </c>
      <c r="P260" s="4">
        <f t="shared" ref="P260:P291" si="29">E260/(((F260/(2*PI()))^2)*PI())</f>
        <v>0.98842900082165797</v>
      </c>
      <c r="Q260" s="1" t="s">
        <v>47</v>
      </c>
      <c r="R260" s="1" t="s">
        <v>65</v>
      </c>
      <c r="S260" s="1" t="s">
        <v>740</v>
      </c>
      <c r="V260" s="1" t="s">
        <v>741</v>
      </c>
      <c r="W260" s="1">
        <v>3500</v>
      </c>
      <c r="AB260" s="24" t="s">
        <v>65</v>
      </c>
      <c r="AC260" s="15">
        <v>112</v>
      </c>
      <c r="AD260" s="15">
        <v>112</v>
      </c>
      <c r="AE260" s="1" t="s">
        <v>1059</v>
      </c>
    </row>
    <row r="261" spans="1:31" ht="15" customHeight="1">
      <c r="A261" s="33" t="s">
        <v>1031</v>
      </c>
      <c r="D261" s="1" t="s">
        <v>27</v>
      </c>
      <c r="E261" s="1">
        <v>0.56000000000000005</v>
      </c>
      <c r="F261" s="1">
        <v>2.69</v>
      </c>
      <c r="G261" s="9">
        <v>-26.841553699999999</v>
      </c>
      <c r="H261" s="9">
        <v>-67.314046599999998</v>
      </c>
      <c r="I261" s="1" t="s">
        <v>64</v>
      </c>
      <c r="J261" s="1" t="s">
        <v>29</v>
      </c>
      <c r="K261" s="1">
        <v>926</v>
      </c>
      <c r="L261" s="1">
        <v>748</v>
      </c>
      <c r="M261" s="1">
        <f t="shared" si="23"/>
        <v>837</v>
      </c>
      <c r="N261" s="4">
        <f t="shared" si="27"/>
        <v>0.8077753779697624</v>
      </c>
      <c r="O261" s="4">
        <f t="shared" si="28"/>
        <v>0.8315266492026494</v>
      </c>
      <c r="P261" s="4">
        <f t="shared" si="29"/>
        <v>0.97250833239467915</v>
      </c>
      <c r="Q261" s="1" t="s">
        <v>30</v>
      </c>
      <c r="R261" s="1" t="s">
        <v>31</v>
      </c>
      <c r="S261" s="1" t="s">
        <v>1030</v>
      </c>
      <c r="V261" s="1" t="s">
        <v>741</v>
      </c>
      <c r="AB261" s="24" t="s">
        <v>65</v>
      </c>
      <c r="AE261" s="18" t="s">
        <v>742</v>
      </c>
    </row>
    <row r="262" spans="1:31" ht="15" customHeight="1">
      <c r="A262" s="24" t="s">
        <v>1032</v>
      </c>
      <c r="D262" s="1" t="s">
        <v>27</v>
      </c>
      <c r="E262" s="1">
        <v>0.33</v>
      </c>
      <c r="F262" s="1">
        <v>2.04</v>
      </c>
      <c r="G262" s="9">
        <v>-26.756925899999999</v>
      </c>
      <c r="H262" s="9">
        <v>-67.274190700000005</v>
      </c>
      <c r="I262" s="1" t="s">
        <v>64</v>
      </c>
      <c r="J262" s="1" t="s">
        <v>29</v>
      </c>
      <c r="K262" s="1">
        <v>677</v>
      </c>
      <c r="L262" s="1">
        <v>598</v>
      </c>
      <c r="M262" s="1">
        <f t="shared" si="23"/>
        <v>637.5</v>
      </c>
      <c r="N262" s="4">
        <f t="shared" si="27"/>
        <v>0.88330871491875929</v>
      </c>
      <c r="O262" s="4">
        <f t="shared" si="28"/>
        <v>0.9167411395800914</v>
      </c>
      <c r="P262" s="4">
        <f t="shared" si="29"/>
        <v>0.99646825805904637</v>
      </c>
      <c r="Q262" s="1" t="s">
        <v>30</v>
      </c>
      <c r="R262" s="1" t="s">
        <v>31</v>
      </c>
      <c r="S262" s="1" t="s">
        <v>1030</v>
      </c>
      <c r="V262" s="1" t="s">
        <v>741</v>
      </c>
      <c r="AB262" s="24" t="s">
        <v>65</v>
      </c>
      <c r="AE262" s="18" t="s">
        <v>742</v>
      </c>
    </row>
    <row r="263" spans="1:31" ht="15" customHeight="1">
      <c r="A263" s="24" t="s">
        <v>1044</v>
      </c>
      <c r="B263" s="1" t="s">
        <v>969</v>
      </c>
      <c r="C263" s="1">
        <v>355200</v>
      </c>
      <c r="D263" s="1" t="s">
        <v>27</v>
      </c>
      <c r="E263" s="1">
        <v>1.1000000000000001</v>
      </c>
      <c r="F263" s="1">
        <v>3.78</v>
      </c>
      <c r="G263" s="9">
        <v>-26.538389500000001</v>
      </c>
      <c r="H263" s="9">
        <v>-68.058381299999994</v>
      </c>
      <c r="I263" s="1" t="s">
        <v>64</v>
      </c>
      <c r="J263" s="1" t="s">
        <v>29</v>
      </c>
      <c r="K263" s="1">
        <v>1224</v>
      </c>
      <c r="L263" s="1">
        <v>1073</v>
      </c>
      <c r="M263" s="1">
        <f t="shared" si="23"/>
        <v>1148.5</v>
      </c>
      <c r="N263" s="4">
        <f t="shared" si="27"/>
        <v>0.87663398692810457</v>
      </c>
      <c r="O263" s="4">
        <f t="shared" si="28"/>
        <v>0.93484577193112095</v>
      </c>
      <c r="P263" s="4">
        <f t="shared" si="29"/>
        <v>0.9674286607174416</v>
      </c>
      <c r="Q263" s="1" t="s">
        <v>30</v>
      </c>
      <c r="R263" s="1" t="s">
        <v>31</v>
      </c>
      <c r="S263" s="1" t="s">
        <v>1029</v>
      </c>
      <c r="V263" s="1" t="s">
        <v>923</v>
      </c>
      <c r="Z263" s="1" t="s">
        <v>1060</v>
      </c>
      <c r="AB263" s="24" t="s">
        <v>65</v>
      </c>
      <c r="AC263" s="15">
        <v>0</v>
      </c>
      <c r="AD263" s="15">
        <v>8585</v>
      </c>
      <c r="AE263" s="18" t="s">
        <v>1043</v>
      </c>
    </row>
    <row r="264" spans="1:31" ht="15" customHeight="1">
      <c r="A264" s="24" t="s">
        <v>1045</v>
      </c>
      <c r="B264" s="1" t="s">
        <v>969</v>
      </c>
      <c r="C264" s="1">
        <v>355200</v>
      </c>
      <c r="D264" s="1" t="s">
        <v>27</v>
      </c>
      <c r="E264" s="1">
        <v>0.45</v>
      </c>
      <c r="F264" s="1">
        <v>2.64</v>
      </c>
      <c r="G264" s="9">
        <v>-26.531381499999998</v>
      </c>
      <c r="H264" s="9">
        <v>-68.037194700000001</v>
      </c>
      <c r="I264" s="1" t="s">
        <v>64</v>
      </c>
      <c r="J264" s="1" t="s">
        <v>29</v>
      </c>
      <c r="K264" s="1">
        <v>819</v>
      </c>
      <c r="L264" s="1">
        <v>674</v>
      </c>
      <c r="M264" s="1">
        <f t="shared" si="23"/>
        <v>746.5</v>
      </c>
      <c r="N264" s="4">
        <f t="shared" si="27"/>
        <v>0.82295482295482292</v>
      </c>
      <c r="O264" s="4">
        <f t="shared" si="28"/>
        <v>0.85419068063113879</v>
      </c>
      <c r="P264" s="4">
        <f t="shared" si="29"/>
        <v>0.81136173904695075</v>
      </c>
      <c r="Q264" s="1" t="s">
        <v>30</v>
      </c>
      <c r="R264" s="1" t="s">
        <v>31</v>
      </c>
      <c r="S264" s="1" t="s">
        <v>1029</v>
      </c>
      <c r="V264" s="1" t="s">
        <v>923</v>
      </c>
      <c r="AB264" s="24" t="s">
        <v>65</v>
      </c>
      <c r="AC264" s="15">
        <v>0</v>
      </c>
      <c r="AD264" s="15">
        <v>8585</v>
      </c>
      <c r="AE264" s="18" t="s">
        <v>1043</v>
      </c>
    </row>
    <row r="265" spans="1:31" ht="15" customHeight="1">
      <c r="A265" s="24" t="s">
        <v>1046</v>
      </c>
      <c r="B265" s="1" t="s">
        <v>969</v>
      </c>
      <c r="C265" s="1">
        <v>355200</v>
      </c>
      <c r="D265" s="1" t="s">
        <v>27</v>
      </c>
      <c r="E265" s="1">
        <v>0.09</v>
      </c>
      <c r="F265" s="1">
        <v>1.1100000000000001</v>
      </c>
      <c r="G265" s="9">
        <v>-26.393125900000001</v>
      </c>
      <c r="H265" s="9">
        <v>-68.027629200000007</v>
      </c>
      <c r="I265" s="1" t="s">
        <v>64</v>
      </c>
      <c r="J265" s="1" t="s">
        <v>29</v>
      </c>
      <c r="K265" s="1">
        <v>372</v>
      </c>
      <c r="L265" s="1">
        <v>326</v>
      </c>
      <c r="M265" s="1">
        <f t="shared" si="23"/>
        <v>349</v>
      </c>
      <c r="N265" s="4">
        <f t="shared" si="27"/>
        <v>0.87634408602150538</v>
      </c>
      <c r="O265" s="4">
        <f t="shared" si="28"/>
        <v>0.82806942295471031</v>
      </c>
      <c r="P265" s="4">
        <f t="shared" si="29"/>
        <v>0.91792334655654995</v>
      </c>
      <c r="Q265" s="1" t="s">
        <v>30</v>
      </c>
      <c r="R265" s="1" t="s">
        <v>31</v>
      </c>
      <c r="S265" s="1" t="s">
        <v>1029</v>
      </c>
      <c r="V265" s="1" t="s">
        <v>923</v>
      </c>
      <c r="AB265" s="24" t="s">
        <v>65</v>
      </c>
      <c r="AC265" s="15">
        <v>0</v>
      </c>
      <c r="AD265" s="15">
        <v>8585</v>
      </c>
      <c r="AE265" s="18" t="s">
        <v>1043</v>
      </c>
    </row>
    <row r="266" spans="1:31" ht="15" customHeight="1">
      <c r="A266" s="24" t="s">
        <v>743</v>
      </c>
      <c r="C266" s="1">
        <v>355180</v>
      </c>
      <c r="D266" s="1" t="s">
        <v>27</v>
      </c>
      <c r="E266" s="1">
        <v>0.3</v>
      </c>
      <c r="F266" s="1">
        <v>2.02</v>
      </c>
      <c r="G266" s="9">
        <v>-25.916337800000001</v>
      </c>
      <c r="H266" s="9">
        <v>-67.406146899999996</v>
      </c>
      <c r="I266" s="1" t="s">
        <v>64</v>
      </c>
      <c r="J266" s="1" t="s">
        <v>29</v>
      </c>
      <c r="K266" s="1">
        <v>738</v>
      </c>
      <c r="L266" s="1">
        <v>536</v>
      </c>
      <c r="M266" s="1">
        <f t="shared" si="23"/>
        <v>637</v>
      </c>
      <c r="N266" s="4">
        <f t="shared" si="27"/>
        <v>0.72628726287262868</v>
      </c>
      <c r="O266" s="4">
        <f t="shared" si="28"/>
        <v>0.70132391694491958</v>
      </c>
      <c r="P266" s="4">
        <f t="shared" si="29"/>
        <v>0.92390726014796376</v>
      </c>
      <c r="Q266" s="1" t="s">
        <v>30</v>
      </c>
      <c r="R266" s="1" t="s">
        <v>65</v>
      </c>
      <c r="S266" s="1" t="s">
        <v>922</v>
      </c>
      <c r="V266" s="1" t="s">
        <v>923</v>
      </c>
      <c r="AB266" s="24" t="s">
        <v>65</v>
      </c>
      <c r="AC266" s="15">
        <v>188</v>
      </c>
      <c r="AD266" s="15">
        <v>4295</v>
      </c>
      <c r="AE266" s="18" t="s">
        <v>742</v>
      </c>
    </row>
    <row r="267" spans="1:31" ht="15" customHeight="1">
      <c r="A267" s="1" t="s">
        <v>745</v>
      </c>
      <c r="C267" s="54">
        <v>343050</v>
      </c>
      <c r="D267" s="1" t="s">
        <v>27</v>
      </c>
      <c r="E267" s="1">
        <v>0.71</v>
      </c>
      <c r="F267" s="1">
        <v>3.1</v>
      </c>
      <c r="G267" s="9">
        <v>13.672147799999999</v>
      </c>
      <c r="H267" s="9">
        <v>-89.247942899999998</v>
      </c>
      <c r="I267" s="1" t="s">
        <v>404</v>
      </c>
      <c r="J267" s="1" t="s">
        <v>46</v>
      </c>
      <c r="K267" s="1">
        <v>1158</v>
      </c>
      <c r="L267" s="1">
        <v>800</v>
      </c>
      <c r="M267" s="1">
        <f t="shared" si="23"/>
        <v>979</v>
      </c>
      <c r="N267" s="4">
        <f t="shared" si="27"/>
        <v>0.69084628670120896</v>
      </c>
      <c r="O267" s="4">
        <f t="shared" si="28"/>
        <v>0.6741419432303668</v>
      </c>
      <c r="P267" s="4">
        <f t="shared" si="29"/>
        <v>0.92842072176847146</v>
      </c>
      <c r="Q267" s="1" t="s">
        <v>30</v>
      </c>
      <c r="R267" s="1" t="s">
        <v>31</v>
      </c>
      <c r="S267" s="1" t="s">
        <v>746</v>
      </c>
      <c r="V267" s="1" t="s">
        <v>747</v>
      </c>
      <c r="W267" s="1">
        <v>800</v>
      </c>
      <c r="Z267" s="1" t="s">
        <v>1174</v>
      </c>
      <c r="AB267" s="24" t="s">
        <v>65</v>
      </c>
      <c r="AC267" s="15">
        <v>29514</v>
      </c>
      <c r="AD267" s="15">
        <v>6366833</v>
      </c>
      <c r="AE267" s="18" t="s">
        <v>1176</v>
      </c>
    </row>
    <row r="268" spans="1:31" ht="15" customHeight="1">
      <c r="A268" s="1" t="s">
        <v>748</v>
      </c>
      <c r="C268" s="55">
        <v>343050</v>
      </c>
      <c r="D268" s="1" t="s">
        <v>27</v>
      </c>
      <c r="E268" s="1">
        <v>1</v>
      </c>
      <c r="F268" s="1">
        <v>3.83</v>
      </c>
      <c r="G268" s="9">
        <v>13.7784131</v>
      </c>
      <c r="H268" s="9">
        <v>-89.354406699999998</v>
      </c>
      <c r="I268" s="1" t="s">
        <v>404</v>
      </c>
      <c r="J268" s="1" t="s">
        <v>187</v>
      </c>
      <c r="K268" s="1">
        <v>1240</v>
      </c>
      <c r="L268" s="1">
        <v>1146</v>
      </c>
      <c r="M268" s="1">
        <f t="shared" si="23"/>
        <v>1193</v>
      </c>
      <c r="N268" s="4">
        <f t="shared" si="27"/>
        <v>0.92419354838709677</v>
      </c>
      <c r="O268" s="4">
        <f t="shared" si="28"/>
        <v>0.82806942295471042</v>
      </c>
      <c r="P268" s="4">
        <f t="shared" si="29"/>
        <v>0.85666754932947742</v>
      </c>
      <c r="Q268" s="1" t="s">
        <v>30</v>
      </c>
      <c r="R268" s="1" t="s">
        <v>31</v>
      </c>
      <c r="S268" s="1" t="s">
        <v>746</v>
      </c>
      <c r="V268" s="1" t="s">
        <v>747</v>
      </c>
      <c r="W268" s="1">
        <v>466</v>
      </c>
      <c r="AB268" s="24" t="s">
        <v>65</v>
      </c>
      <c r="AC268" s="15">
        <v>29514</v>
      </c>
      <c r="AD268" s="15">
        <v>6366833</v>
      </c>
      <c r="AE268" s="18" t="s">
        <v>1178</v>
      </c>
    </row>
    <row r="269" spans="1:31" ht="15" customHeight="1">
      <c r="A269" s="1" t="s">
        <v>749</v>
      </c>
      <c r="C269" s="1">
        <v>343071</v>
      </c>
      <c r="D269" s="1" t="s">
        <v>27</v>
      </c>
      <c r="E269" s="1">
        <v>0.56999999999999995</v>
      </c>
      <c r="F269" s="1">
        <v>2.74</v>
      </c>
      <c r="G269" s="9">
        <v>13.7123404</v>
      </c>
      <c r="H269" s="9">
        <v>-88.754929000000004</v>
      </c>
      <c r="I269" s="1" t="s">
        <v>404</v>
      </c>
      <c r="J269" s="1" t="s">
        <v>187</v>
      </c>
      <c r="K269" s="1">
        <v>979</v>
      </c>
      <c r="L269" s="1">
        <v>735</v>
      </c>
      <c r="M269" s="1">
        <f t="shared" ref="M269:M332" si="30">AVERAGE(K269:L269)</f>
        <v>857</v>
      </c>
      <c r="N269" s="4">
        <f t="shared" si="27"/>
        <v>0.75076608784473953</v>
      </c>
      <c r="O269" s="4">
        <f t="shared" si="28"/>
        <v>0.75721566637804805</v>
      </c>
      <c r="P269" s="4">
        <f t="shared" si="29"/>
        <v>0.9540773682914282</v>
      </c>
      <c r="Q269" s="1" t="s">
        <v>47</v>
      </c>
      <c r="R269" s="1" t="s">
        <v>48</v>
      </c>
      <c r="S269" s="1" t="s">
        <v>750</v>
      </c>
      <c r="V269" s="1" t="s">
        <v>747</v>
      </c>
      <c r="W269" s="1">
        <v>560</v>
      </c>
      <c r="AB269" s="24" t="s">
        <v>65</v>
      </c>
      <c r="AC269" s="15">
        <v>377730</v>
      </c>
      <c r="AD269" s="15">
        <v>6372608</v>
      </c>
      <c r="AE269" s="18" t="s">
        <v>43</v>
      </c>
    </row>
    <row r="270" spans="1:31" ht="15" customHeight="1">
      <c r="A270" s="1" t="s">
        <v>751</v>
      </c>
      <c r="C270" s="1">
        <v>343071</v>
      </c>
      <c r="D270" s="1" t="s">
        <v>27</v>
      </c>
      <c r="E270" s="1">
        <v>0.46</v>
      </c>
      <c r="F270" s="1">
        <v>2.56</v>
      </c>
      <c r="G270" s="9">
        <v>13.692703099999999</v>
      </c>
      <c r="H270" s="9">
        <v>-88.745137099999994</v>
      </c>
      <c r="I270" s="1" t="s">
        <v>404</v>
      </c>
      <c r="J270" s="1" t="s">
        <v>187</v>
      </c>
      <c r="K270" s="1">
        <v>888</v>
      </c>
      <c r="L270" s="1">
        <v>733</v>
      </c>
      <c r="M270" s="1">
        <f t="shared" si="30"/>
        <v>810.5</v>
      </c>
      <c r="N270" s="4">
        <f t="shared" si="27"/>
        <v>0.8254504504504504</v>
      </c>
      <c r="O270" s="4">
        <f t="shared" si="28"/>
        <v>0.7427489025066133</v>
      </c>
      <c r="P270" s="4">
        <f t="shared" si="29"/>
        <v>0.88203895303424351</v>
      </c>
      <c r="Q270" s="1" t="s">
        <v>47</v>
      </c>
      <c r="R270" s="1" t="s">
        <v>48</v>
      </c>
      <c r="S270" s="1" t="s">
        <v>750</v>
      </c>
      <c r="V270" s="1" t="s">
        <v>747</v>
      </c>
      <c r="W270" s="1">
        <v>512</v>
      </c>
      <c r="AB270" s="24" t="s">
        <v>65</v>
      </c>
      <c r="AC270" s="15">
        <v>377730</v>
      </c>
      <c r="AD270" s="15">
        <v>6372608</v>
      </c>
      <c r="AE270" s="18" t="s">
        <v>43</v>
      </c>
    </row>
    <row r="271" spans="1:31" ht="15" customHeight="1">
      <c r="A271" s="1" t="s">
        <v>752</v>
      </c>
      <c r="C271" s="1">
        <v>343071</v>
      </c>
      <c r="D271" s="1" t="s">
        <v>27</v>
      </c>
      <c r="E271" s="1">
        <v>0.43</v>
      </c>
      <c r="F271" s="1">
        <v>2.38</v>
      </c>
      <c r="G271" s="9">
        <v>13.7039799</v>
      </c>
      <c r="H271" s="9">
        <v>-88.763305200000005</v>
      </c>
      <c r="I271" s="1" t="s">
        <v>404</v>
      </c>
      <c r="J271" s="1" t="s">
        <v>329</v>
      </c>
      <c r="K271" s="1">
        <v>793</v>
      </c>
      <c r="L271" s="1">
        <v>713</v>
      </c>
      <c r="M271" s="1">
        <f t="shared" si="30"/>
        <v>753</v>
      </c>
      <c r="N271" s="4">
        <f t="shared" si="27"/>
        <v>0.89911727616645654</v>
      </c>
      <c r="O271" s="4">
        <f t="shared" si="28"/>
        <v>0.87062713661963353</v>
      </c>
      <c r="P271" s="4">
        <f t="shared" si="29"/>
        <v>0.95394734908806644</v>
      </c>
      <c r="Q271" s="1" t="s">
        <v>47</v>
      </c>
      <c r="R271" s="1" t="s">
        <v>48</v>
      </c>
      <c r="S271" s="1" t="s">
        <v>750</v>
      </c>
      <c r="V271" s="1" t="s">
        <v>747</v>
      </c>
      <c r="W271" s="1">
        <v>640</v>
      </c>
      <c r="AB271" s="24" t="s">
        <v>65</v>
      </c>
      <c r="AC271" s="15">
        <v>377730</v>
      </c>
      <c r="AD271" s="15">
        <v>6372608</v>
      </c>
      <c r="AE271" s="18" t="s">
        <v>43</v>
      </c>
    </row>
    <row r="272" spans="1:31" ht="15" customHeight="1">
      <c r="A272" s="1" t="s">
        <v>753</v>
      </c>
      <c r="C272" s="1">
        <v>343071</v>
      </c>
      <c r="D272" s="1" t="s">
        <v>27</v>
      </c>
      <c r="E272" s="1">
        <v>0.56999999999999995</v>
      </c>
      <c r="F272" s="1">
        <v>2.99</v>
      </c>
      <c r="G272" s="9">
        <v>13.6855437</v>
      </c>
      <c r="H272" s="9">
        <v>-88.736596700000007</v>
      </c>
      <c r="I272" s="1" t="s">
        <v>404</v>
      </c>
      <c r="J272" s="1" t="s">
        <v>329</v>
      </c>
      <c r="K272" s="1">
        <v>1229</v>
      </c>
      <c r="L272" s="1">
        <v>590</v>
      </c>
      <c r="M272" s="1">
        <f t="shared" si="30"/>
        <v>909.5</v>
      </c>
      <c r="N272" s="4">
        <f t="shared" si="27"/>
        <v>0.48006509357200977</v>
      </c>
      <c r="O272" s="4">
        <f t="shared" si="28"/>
        <v>0.48048652049238771</v>
      </c>
      <c r="P272" s="4">
        <f t="shared" si="29"/>
        <v>0.80120258724004501</v>
      </c>
      <c r="Q272" s="1" t="s">
        <v>47</v>
      </c>
      <c r="R272" s="1" t="s">
        <v>48</v>
      </c>
      <c r="S272" s="1" t="s">
        <v>750</v>
      </c>
      <c r="V272" s="1" t="s">
        <v>747</v>
      </c>
      <c r="AB272" s="24" t="s">
        <v>65</v>
      </c>
      <c r="AC272" s="15">
        <v>377730</v>
      </c>
      <c r="AD272" s="15">
        <v>6372608</v>
      </c>
      <c r="AE272" s="18" t="s">
        <v>43</v>
      </c>
    </row>
    <row r="273" spans="1:32" ht="15" customHeight="1">
      <c r="A273" s="1" t="s">
        <v>754</v>
      </c>
      <c r="C273" s="1">
        <v>343071</v>
      </c>
      <c r="D273" s="1" t="s">
        <v>27</v>
      </c>
      <c r="E273" s="1">
        <v>0.2</v>
      </c>
      <c r="F273" s="1">
        <v>1.62</v>
      </c>
      <c r="G273" s="9">
        <v>13.7196955</v>
      </c>
      <c r="H273" s="9">
        <v>-88.777735300000003</v>
      </c>
      <c r="I273" s="1" t="s">
        <v>404</v>
      </c>
      <c r="J273" s="1" t="s">
        <v>329</v>
      </c>
      <c r="K273" s="1">
        <v>547</v>
      </c>
      <c r="L273" s="1">
        <v>472</v>
      </c>
      <c r="M273" s="1">
        <f t="shared" si="30"/>
        <v>509.5</v>
      </c>
      <c r="N273" s="4">
        <f t="shared" si="27"/>
        <v>0.86288848263254114</v>
      </c>
      <c r="O273" s="4">
        <f t="shared" si="28"/>
        <v>0.85107035198484171</v>
      </c>
      <c r="P273" s="4">
        <f t="shared" si="29"/>
        <v>0.95765665404352762</v>
      </c>
      <c r="Q273" s="1" t="s">
        <v>47</v>
      </c>
      <c r="R273" s="1" t="s">
        <v>48</v>
      </c>
      <c r="S273" s="1" t="s">
        <v>750</v>
      </c>
      <c r="V273" s="1" t="s">
        <v>747</v>
      </c>
      <c r="AB273" s="24" t="s">
        <v>65</v>
      </c>
      <c r="AC273" s="15">
        <v>377730</v>
      </c>
      <c r="AD273" s="15">
        <v>6372608</v>
      </c>
      <c r="AE273" s="18" t="s">
        <v>43</v>
      </c>
    </row>
    <row r="274" spans="1:32" ht="15" customHeight="1">
      <c r="A274" s="1" t="s">
        <v>755</v>
      </c>
      <c r="C274" s="1">
        <v>343071</v>
      </c>
      <c r="D274" s="1" t="s">
        <v>27</v>
      </c>
      <c r="E274" s="1">
        <v>0.18</v>
      </c>
      <c r="F274" s="1">
        <v>1.52</v>
      </c>
      <c r="G274" s="9">
        <v>13.709896199999999</v>
      </c>
      <c r="H274" s="9">
        <v>-88.790520200000003</v>
      </c>
      <c r="I274" s="1" t="s">
        <v>404</v>
      </c>
      <c r="J274" s="1" t="s">
        <v>329</v>
      </c>
      <c r="K274" s="1">
        <v>485</v>
      </c>
      <c r="L274" s="1">
        <v>469</v>
      </c>
      <c r="M274" s="1">
        <f t="shared" si="30"/>
        <v>477</v>
      </c>
      <c r="N274" s="4">
        <f t="shared" si="27"/>
        <v>0.96701030927835052</v>
      </c>
      <c r="O274" s="4">
        <f t="shared" si="28"/>
        <v>0.97431445659402394</v>
      </c>
      <c r="P274" s="4">
        <f t="shared" si="29"/>
        <v>0.97902818152036475</v>
      </c>
      <c r="Q274" s="1" t="s">
        <v>47</v>
      </c>
      <c r="R274" s="1" t="s">
        <v>48</v>
      </c>
      <c r="S274" s="1" t="s">
        <v>750</v>
      </c>
      <c r="V274" s="1" t="s">
        <v>747</v>
      </c>
      <c r="AB274" s="24" t="s">
        <v>65</v>
      </c>
      <c r="AC274" s="15">
        <v>377730</v>
      </c>
      <c r="AD274" s="15">
        <v>6372608</v>
      </c>
      <c r="AE274" s="18" t="s">
        <v>43</v>
      </c>
    </row>
    <row r="275" spans="1:32" ht="15" customHeight="1">
      <c r="A275" s="1" t="s">
        <v>924</v>
      </c>
      <c r="C275" s="1">
        <v>343050</v>
      </c>
      <c r="D275" s="1" t="s">
        <v>27</v>
      </c>
      <c r="E275" s="1">
        <v>0.1</v>
      </c>
      <c r="F275" s="1">
        <v>1.1299999999999999</v>
      </c>
      <c r="G275" s="9">
        <v>13.840743</v>
      </c>
      <c r="H275" s="9">
        <v>-89.357071099999999</v>
      </c>
      <c r="I275" s="1" t="s">
        <v>404</v>
      </c>
      <c r="J275" s="1" t="s">
        <v>187</v>
      </c>
      <c r="K275" s="1">
        <v>379</v>
      </c>
      <c r="L275" s="1">
        <v>334</v>
      </c>
      <c r="M275" s="1">
        <f t="shared" si="30"/>
        <v>356.5</v>
      </c>
      <c r="N275" s="4">
        <f t="shared" si="27"/>
        <v>0.8812664907651715</v>
      </c>
      <c r="O275" s="4">
        <f t="shared" si="28"/>
        <v>0.88640398266174902</v>
      </c>
      <c r="P275" s="4">
        <f t="shared" si="29"/>
        <v>0.98413114686813186</v>
      </c>
      <c r="Q275" s="1" t="s">
        <v>30</v>
      </c>
      <c r="R275" s="1" t="s">
        <v>31</v>
      </c>
      <c r="S275" s="1" t="s">
        <v>746</v>
      </c>
      <c r="V275" s="1" t="s">
        <v>747</v>
      </c>
      <c r="W275" s="1">
        <v>510</v>
      </c>
      <c r="Z275" s="1" t="s">
        <v>1175</v>
      </c>
      <c r="AB275" s="24" t="s">
        <v>65</v>
      </c>
      <c r="AC275" s="15">
        <v>29514</v>
      </c>
      <c r="AD275" s="15">
        <v>6366883</v>
      </c>
      <c r="AE275" s="18" t="s">
        <v>1177</v>
      </c>
    </row>
    <row r="276" spans="1:32" s="24" customFormat="1" ht="15" customHeight="1">
      <c r="A276" s="24" t="s">
        <v>758</v>
      </c>
      <c r="C276" s="24">
        <v>305011</v>
      </c>
      <c r="D276" s="1" t="s">
        <v>27</v>
      </c>
      <c r="E276" s="24">
        <v>0.56999999999999995</v>
      </c>
      <c r="F276" s="24">
        <v>2.91</v>
      </c>
      <c r="G276" s="9">
        <v>47.456286400000003</v>
      </c>
      <c r="H276" s="9">
        <v>120.642515</v>
      </c>
      <c r="I276" s="24" t="s">
        <v>504</v>
      </c>
      <c r="J276" s="1" t="s">
        <v>187</v>
      </c>
      <c r="K276" s="24">
        <v>1093</v>
      </c>
      <c r="L276" s="24">
        <v>613</v>
      </c>
      <c r="M276" s="1">
        <f t="shared" si="30"/>
        <v>853</v>
      </c>
      <c r="N276" s="4">
        <f t="shared" si="27"/>
        <v>0.56084172003659649</v>
      </c>
      <c r="O276" s="4">
        <f t="shared" si="28"/>
        <v>0.60749771732035329</v>
      </c>
      <c r="P276" s="4">
        <f t="shared" si="29"/>
        <v>0.84586049411139763</v>
      </c>
      <c r="Q276" s="24" t="s">
        <v>47</v>
      </c>
      <c r="R276" s="1" t="s">
        <v>31</v>
      </c>
      <c r="S276" s="24" t="s">
        <v>756</v>
      </c>
      <c r="V276" s="24" t="s">
        <v>757</v>
      </c>
      <c r="AB276" s="24" t="s">
        <v>65</v>
      </c>
      <c r="AC276" s="43">
        <v>6435</v>
      </c>
      <c r="AD276" s="43">
        <v>188163</v>
      </c>
      <c r="AE276" s="44" t="s">
        <v>822</v>
      </c>
      <c r="AF276" s="56"/>
    </row>
    <row r="277" spans="1:32" s="24" customFormat="1" ht="15" customHeight="1">
      <c r="A277" s="24" t="s">
        <v>1067</v>
      </c>
      <c r="C277" s="24">
        <v>305011</v>
      </c>
      <c r="D277" s="1" t="s">
        <v>27</v>
      </c>
      <c r="E277" s="24">
        <v>1.46E-2</v>
      </c>
      <c r="F277" s="24">
        <v>0.44</v>
      </c>
      <c r="G277" s="9">
        <v>47.305304599999999</v>
      </c>
      <c r="H277" s="9">
        <v>120.4781856</v>
      </c>
      <c r="I277" s="24" t="s">
        <v>504</v>
      </c>
      <c r="J277" s="1" t="s">
        <v>187</v>
      </c>
      <c r="K277" s="24">
        <v>160</v>
      </c>
      <c r="L277" s="24">
        <v>117</v>
      </c>
      <c r="M277" s="1">
        <f t="shared" si="30"/>
        <v>138.5</v>
      </c>
      <c r="N277" s="4">
        <f t="shared" si="27"/>
        <v>0.73124999999999996</v>
      </c>
      <c r="O277" s="4">
        <f t="shared" si="28"/>
        <v>0.72614442785677247</v>
      </c>
      <c r="P277" s="4">
        <f t="shared" si="29"/>
        <v>0.94767051120683821</v>
      </c>
      <c r="Q277" s="24" t="s">
        <v>47</v>
      </c>
      <c r="R277" s="1" t="s">
        <v>31</v>
      </c>
      <c r="S277" s="24" t="s">
        <v>756</v>
      </c>
      <c r="V277" s="24" t="s">
        <v>757</v>
      </c>
      <c r="AB277" s="24" t="s">
        <v>65</v>
      </c>
      <c r="AC277" s="43">
        <v>6435</v>
      </c>
      <c r="AD277" s="43">
        <v>188163</v>
      </c>
      <c r="AE277" s="44" t="s">
        <v>822</v>
      </c>
    </row>
    <row r="278" spans="1:32" s="24" customFormat="1" ht="15" customHeight="1">
      <c r="A278" s="24" t="s">
        <v>926</v>
      </c>
      <c r="B278" s="24" t="s">
        <v>759</v>
      </c>
      <c r="C278" s="24">
        <v>233014</v>
      </c>
      <c r="D278" s="1" t="s">
        <v>27</v>
      </c>
      <c r="E278" s="24">
        <v>0.12</v>
      </c>
      <c r="F278" s="24">
        <v>1.26</v>
      </c>
      <c r="G278" s="9">
        <v>-19.184514199999999</v>
      </c>
      <c r="H278" s="9">
        <v>46.646215900000001</v>
      </c>
      <c r="I278" s="24" t="s">
        <v>760</v>
      </c>
      <c r="J278" s="24" t="s">
        <v>187</v>
      </c>
      <c r="K278" s="24">
        <v>463</v>
      </c>
      <c r="L278" s="24">
        <v>313</v>
      </c>
      <c r="M278" s="1">
        <f t="shared" si="30"/>
        <v>388</v>
      </c>
      <c r="N278" s="4">
        <f t="shared" si="27"/>
        <v>0.67602591792656586</v>
      </c>
      <c r="O278" s="4">
        <f t="shared" si="28"/>
        <v>0.71273712788798516</v>
      </c>
      <c r="P278" s="4">
        <f t="shared" si="29"/>
        <v>0.94983904870439706</v>
      </c>
      <c r="Q278" s="24" t="s">
        <v>47</v>
      </c>
      <c r="R278" s="1" t="s">
        <v>48</v>
      </c>
      <c r="S278" s="24" t="s">
        <v>928</v>
      </c>
      <c r="V278" s="24" t="s">
        <v>757</v>
      </c>
      <c r="AB278" s="24" t="s">
        <v>65</v>
      </c>
      <c r="AC278" s="43">
        <v>129121</v>
      </c>
      <c r="AD278" s="43">
        <v>4186413</v>
      </c>
      <c r="AE278" s="18" t="s">
        <v>1173</v>
      </c>
    </row>
    <row r="279" spans="1:32" s="24" customFormat="1" ht="15" customHeight="1">
      <c r="A279" s="24" t="s">
        <v>925</v>
      </c>
      <c r="C279" s="24">
        <v>233014</v>
      </c>
      <c r="D279" s="1" t="s">
        <v>27</v>
      </c>
      <c r="E279" s="24">
        <v>0.32</v>
      </c>
      <c r="F279" s="24">
        <v>2.58</v>
      </c>
      <c r="G279" s="9">
        <v>-19.019032500000002</v>
      </c>
      <c r="H279" s="9">
        <v>46.728350499999998</v>
      </c>
      <c r="I279" s="24" t="s">
        <v>760</v>
      </c>
      <c r="J279" s="24" t="s">
        <v>187</v>
      </c>
      <c r="K279" s="24">
        <v>915</v>
      </c>
      <c r="L279" s="24">
        <v>423</v>
      </c>
      <c r="M279" s="1">
        <f t="shared" si="30"/>
        <v>669</v>
      </c>
      <c r="N279" s="4">
        <f t="shared" si="27"/>
        <v>0.46229508196721314</v>
      </c>
      <c r="O279" s="4">
        <f t="shared" si="28"/>
        <v>0.48665132349756884</v>
      </c>
      <c r="P279" s="4">
        <f t="shared" si="29"/>
        <v>0.60411612832686368</v>
      </c>
      <c r="Q279" s="24" t="s">
        <v>47</v>
      </c>
      <c r="R279" s="1" t="s">
        <v>48</v>
      </c>
      <c r="S279" s="24" t="s">
        <v>928</v>
      </c>
      <c r="V279" s="24" t="s">
        <v>757</v>
      </c>
      <c r="AB279" s="24" t="s">
        <v>65</v>
      </c>
      <c r="AC279" s="43">
        <v>129121</v>
      </c>
      <c r="AD279" s="43">
        <v>4186413</v>
      </c>
      <c r="AE279" s="18" t="s">
        <v>1173</v>
      </c>
    </row>
    <row r="280" spans="1:32" s="24" customFormat="1" ht="15" customHeight="1">
      <c r="A280" s="24" t="s">
        <v>762</v>
      </c>
      <c r="C280" s="24">
        <v>233014</v>
      </c>
      <c r="D280" s="1" t="s">
        <v>27</v>
      </c>
      <c r="E280" s="24">
        <v>0.28000000000000003</v>
      </c>
      <c r="F280" s="24">
        <v>1.92</v>
      </c>
      <c r="G280" s="9">
        <v>-18.9493151</v>
      </c>
      <c r="H280" s="9">
        <v>46.742650500000003</v>
      </c>
      <c r="I280" s="24" t="s">
        <v>760</v>
      </c>
      <c r="J280" s="24" t="s">
        <v>187</v>
      </c>
      <c r="K280" s="24">
        <v>620</v>
      </c>
      <c r="L280" s="24">
        <v>563</v>
      </c>
      <c r="M280" s="1">
        <f t="shared" si="30"/>
        <v>591.5</v>
      </c>
      <c r="N280" s="4">
        <f t="shared" si="27"/>
        <v>0.90806451612903227</v>
      </c>
      <c r="O280" s="4">
        <f t="shared" si="28"/>
        <v>0.92743775370927573</v>
      </c>
      <c r="P280" s="4">
        <f t="shared" si="29"/>
        <v>0.95447693468439931</v>
      </c>
      <c r="Q280" s="24" t="s">
        <v>47</v>
      </c>
      <c r="R280" s="1" t="s">
        <v>48</v>
      </c>
      <c r="S280" s="24" t="s">
        <v>928</v>
      </c>
      <c r="V280" s="24" t="s">
        <v>757</v>
      </c>
      <c r="AB280" s="24" t="s">
        <v>65</v>
      </c>
      <c r="AC280" s="43">
        <v>129121</v>
      </c>
      <c r="AD280" s="43">
        <v>4186413</v>
      </c>
      <c r="AE280" s="18" t="s">
        <v>1173</v>
      </c>
    </row>
    <row r="281" spans="1:32" s="24" customFormat="1" ht="15" customHeight="1">
      <c r="A281" s="24" t="s">
        <v>927</v>
      </c>
      <c r="C281" s="24">
        <v>233014</v>
      </c>
      <c r="D281" s="1" t="s">
        <v>27</v>
      </c>
      <c r="E281" s="24">
        <v>0.03</v>
      </c>
      <c r="F281" s="24">
        <v>0.63</v>
      </c>
      <c r="G281" s="9">
        <v>-19.1769164</v>
      </c>
      <c r="H281" s="9">
        <v>46.767466300000002</v>
      </c>
      <c r="I281" s="24" t="s">
        <v>760</v>
      </c>
      <c r="J281" s="24" t="s">
        <v>329</v>
      </c>
      <c r="K281" s="24">
        <v>219</v>
      </c>
      <c r="L281" s="24">
        <v>172</v>
      </c>
      <c r="M281" s="1">
        <f t="shared" si="30"/>
        <v>195.5</v>
      </c>
      <c r="N281" s="4">
        <f t="shared" si="27"/>
        <v>0.78538812785388123</v>
      </c>
      <c r="O281" s="4">
        <f t="shared" si="28"/>
        <v>0.79642180817862185</v>
      </c>
      <c r="P281" s="4">
        <f t="shared" si="29"/>
        <v>0.94983904870439706</v>
      </c>
      <c r="Q281" s="24" t="s">
        <v>47</v>
      </c>
      <c r="R281" s="1" t="s">
        <v>48</v>
      </c>
      <c r="S281" s="24" t="s">
        <v>928</v>
      </c>
      <c r="V281" s="24" t="s">
        <v>757</v>
      </c>
      <c r="AB281" s="24" t="s">
        <v>65</v>
      </c>
      <c r="AC281" s="43">
        <v>129121</v>
      </c>
      <c r="AD281" s="43">
        <v>4186413</v>
      </c>
      <c r="AE281" s="18" t="s">
        <v>1173</v>
      </c>
    </row>
    <row r="282" spans="1:32" s="24" customFormat="1" ht="15" customHeight="1">
      <c r="A282" s="24" t="s">
        <v>763</v>
      </c>
      <c r="C282" s="24">
        <v>233015</v>
      </c>
      <c r="D282" s="24" t="s">
        <v>27</v>
      </c>
      <c r="E282" s="24">
        <v>0.17</v>
      </c>
      <c r="F282" s="24">
        <v>1.53</v>
      </c>
      <c r="G282" s="9">
        <v>-19.929122599999999</v>
      </c>
      <c r="H282" s="9">
        <v>46.924358900000001</v>
      </c>
      <c r="I282" s="24" t="s">
        <v>760</v>
      </c>
      <c r="J282" s="24" t="s">
        <v>187</v>
      </c>
      <c r="K282" s="24">
        <v>570</v>
      </c>
      <c r="L282" s="24">
        <v>384</v>
      </c>
      <c r="M282" s="1">
        <f t="shared" si="30"/>
        <v>477</v>
      </c>
      <c r="N282" s="4">
        <f t="shared" si="27"/>
        <v>0.67368421052631577</v>
      </c>
      <c r="O282" s="4">
        <f t="shared" si="28"/>
        <v>0.66620721023384943</v>
      </c>
      <c r="P282" s="4">
        <f t="shared" si="29"/>
        <v>0.91259045855912657</v>
      </c>
      <c r="Q282" s="24" t="s">
        <v>47</v>
      </c>
      <c r="R282" s="24" t="s">
        <v>65</v>
      </c>
      <c r="S282" s="24" t="s">
        <v>764</v>
      </c>
      <c r="V282" s="24" t="s">
        <v>757</v>
      </c>
      <c r="W282" s="24">
        <v>1861</v>
      </c>
      <c r="AB282" s="24" t="s">
        <v>65</v>
      </c>
      <c r="AC282" s="43">
        <v>129121</v>
      </c>
      <c r="AD282" s="43">
        <v>4186413</v>
      </c>
      <c r="AE282" s="44" t="s">
        <v>942</v>
      </c>
    </row>
    <row r="283" spans="1:32" s="24" customFormat="1" ht="15" customHeight="1">
      <c r="A283" s="24" t="s">
        <v>765</v>
      </c>
      <c r="C283" s="24">
        <v>233015</v>
      </c>
      <c r="D283" s="24" t="s">
        <v>27</v>
      </c>
      <c r="E283" s="24">
        <v>0.37</v>
      </c>
      <c r="F283" s="24">
        <v>2.57</v>
      </c>
      <c r="G283" s="9">
        <v>-19.1325684</v>
      </c>
      <c r="H283" s="9">
        <v>46.645633500000002</v>
      </c>
      <c r="I283" s="24" t="s">
        <v>760</v>
      </c>
      <c r="J283" s="24" t="s">
        <v>329</v>
      </c>
      <c r="K283" s="24">
        <v>1016</v>
      </c>
      <c r="L283" s="24">
        <v>401</v>
      </c>
      <c r="M283" s="1">
        <f t="shared" si="30"/>
        <v>708.5</v>
      </c>
      <c r="N283" s="4">
        <f t="shared" si="27"/>
        <v>0.39468503937007876</v>
      </c>
      <c r="O283" s="4">
        <f t="shared" si="28"/>
        <v>0.45637771207143402</v>
      </c>
      <c r="P283" s="4">
        <f t="shared" si="29"/>
        <v>0.70395571883191177</v>
      </c>
      <c r="Q283" s="24" t="s">
        <v>47</v>
      </c>
      <c r="R283" s="24" t="s">
        <v>48</v>
      </c>
      <c r="S283" s="24" t="s">
        <v>761</v>
      </c>
      <c r="V283" s="24" t="s">
        <v>757</v>
      </c>
      <c r="AB283" s="24" t="s">
        <v>48</v>
      </c>
      <c r="AC283" s="43">
        <v>129121</v>
      </c>
      <c r="AD283" s="43">
        <v>4186413</v>
      </c>
      <c r="AE283" s="18" t="s">
        <v>1173</v>
      </c>
    </row>
    <row r="284" spans="1:32" s="24" customFormat="1" ht="15" customHeight="1">
      <c r="A284" s="24" t="s">
        <v>768</v>
      </c>
      <c r="C284" s="24">
        <v>233011</v>
      </c>
      <c r="D284" s="1" t="s">
        <v>27</v>
      </c>
      <c r="E284" s="24">
        <v>1.96</v>
      </c>
      <c r="F284" s="24">
        <v>5.14</v>
      </c>
      <c r="G284" s="9">
        <v>-12.749363199999999</v>
      </c>
      <c r="H284" s="9">
        <v>49.254695300000002</v>
      </c>
      <c r="I284" s="24" t="s">
        <v>760</v>
      </c>
      <c r="J284" s="24" t="s">
        <v>187</v>
      </c>
      <c r="K284" s="24">
        <v>1684</v>
      </c>
      <c r="L284" s="24">
        <v>1451</v>
      </c>
      <c r="M284" s="1">
        <f t="shared" si="30"/>
        <v>1567.5</v>
      </c>
      <c r="N284" s="4">
        <f t="shared" si="27"/>
        <v>0.86163895486935871</v>
      </c>
      <c r="O284" s="4">
        <f t="shared" si="28"/>
        <v>0.87999866977763308</v>
      </c>
      <c r="P284" s="4">
        <f t="shared" si="29"/>
        <v>0.93226568169631563</v>
      </c>
      <c r="Q284" s="24" t="s">
        <v>30</v>
      </c>
      <c r="R284" s="1" t="s">
        <v>31</v>
      </c>
      <c r="S284" s="24" t="s">
        <v>767</v>
      </c>
      <c r="V284" s="24" t="s">
        <v>757</v>
      </c>
      <c r="AB284" s="24" t="s">
        <v>48</v>
      </c>
      <c r="AC284" s="43">
        <v>20396</v>
      </c>
      <c r="AD284" s="43">
        <v>408436</v>
      </c>
      <c r="AE284" s="18" t="s">
        <v>1016</v>
      </c>
    </row>
    <row r="285" spans="1:32" s="24" customFormat="1" ht="15" customHeight="1">
      <c r="A285" s="24" t="s">
        <v>766</v>
      </c>
      <c r="C285" s="24">
        <v>233011</v>
      </c>
      <c r="D285" s="1" t="s">
        <v>27</v>
      </c>
      <c r="E285" s="24">
        <v>0.15</v>
      </c>
      <c r="F285" s="24">
        <v>1.4</v>
      </c>
      <c r="G285" s="9">
        <v>-12.7570002</v>
      </c>
      <c r="H285" s="9">
        <v>49.260901099999998</v>
      </c>
      <c r="I285" s="24" t="s">
        <v>760</v>
      </c>
      <c r="J285" s="24" t="s">
        <v>187</v>
      </c>
      <c r="K285" s="24">
        <v>447</v>
      </c>
      <c r="L285" s="24">
        <v>444</v>
      </c>
      <c r="M285" s="1">
        <f t="shared" si="30"/>
        <v>445.5</v>
      </c>
      <c r="N285" s="4">
        <f t="shared" si="27"/>
        <v>0.99328859060402686</v>
      </c>
      <c r="O285" s="4">
        <f t="shared" si="28"/>
        <v>0.9558424881275337</v>
      </c>
      <c r="P285" s="4">
        <f t="shared" si="29"/>
        <v>0.96171203681320205</v>
      </c>
      <c r="Q285" s="24" t="s">
        <v>30</v>
      </c>
      <c r="R285" s="1" t="s">
        <v>31</v>
      </c>
      <c r="S285" s="24" t="s">
        <v>767</v>
      </c>
      <c r="V285" s="24" t="s">
        <v>757</v>
      </c>
      <c r="AB285" s="24" t="s">
        <v>65</v>
      </c>
      <c r="AC285" s="43">
        <v>20396</v>
      </c>
      <c r="AD285" s="43">
        <v>408436</v>
      </c>
      <c r="AE285" s="18" t="s">
        <v>1016</v>
      </c>
    </row>
    <row r="286" spans="1:32" s="24" customFormat="1" ht="15" customHeight="1">
      <c r="A286" s="24" t="s">
        <v>769</v>
      </c>
      <c r="C286" s="24">
        <v>222021</v>
      </c>
      <c r="D286" s="1" t="s">
        <v>27</v>
      </c>
      <c r="E286" s="24">
        <v>1</v>
      </c>
      <c r="F286" s="24">
        <v>3.6</v>
      </c>
      <c r="G286" s="9">
        <v>2.2627716000000002</v>
      </c>
      <c r="H286" s="9">
        <v>37.934719399999999</v>
      </c>
      <c r="I286" s="24" t="s">
        <v>770</v>
      </c>
      <c r="J286" s="24" t="s">
        <v>187</v>
      </c>
      <c r="K286" s="24">
        <v>1127</v>
      </c>
      <c r="L286" s="24">
        <v>1071</v>
      </c>
      <c r="M286" s="1">
        <f t="shared" si="30"/>
        <v>1099</v>
      </c>
      <c r="N286" s="4">
        <f t="shared" si="27"/>
        <v>0.9503105590062112</v>
      </c>
      <c r="O286" s="4">
        <f t="shared" si="28"/>
        <v>1.0024489990663648</v>
      </c>
      <c r="P286" s="4">
        <f t="shared" si="29"/>
        <v>0.96962736221907209</v>
      </c>
      <c r="Q286" s="24" t="s">
        <v>30</v>
      </c>
      <c r="R286" s="1" t="s">
        <v>48</v>
      </c>
      <c r="S286" s="24" t="s">
        <v>771</v>
      </c>
      <c r="V286" s="24" t="s">
        <v>772</v>
      </c>
      <c r="AB286" s="24" t="s">
        <v>65</v>
      </c>
      <c r="AC286" s="43">
        <v>16804</v>
      </c>
      <c r="AD286" s="43">
        <v>111322</v>
      </c>
      <c r="AE286" s="44" t="s">
        <v>1172</v>
      </c>
    </row>
    <row r="287" spans="1:32" s="24" customFormat="1" ht="15" customHeight="1">
      <c r="A287" s="24" t="s">
        <v>773</v>
      </c>
      <c r="B287" s="9" t="s">
        <v>796</v>
      </c>
      <c r="C287" s="24">
        <v>222021</v>
      </c>
      <c r="D287" s="1" t="s">
        <v>27</v>
      </c>
      <c r="E287" s="24">
        <v>4.83</v>
      </c>
      <c r="F287" s="24">
        <v>8.17</v>
      </c>
      <c r="G287" s="9">
        <v>2.206188</v>
      </c>
      <c r="H287" s="9">
        <v>37.928136299999998</v>
      </c>
      <c r="I287" s="24" t="s">
        <v>770</v>
      </c>
      <c r="J287" s="24" t="s">
        <v>187</v>
      </c>
      <c r="K287" s="24">
        <v>2875</v>
      </c>
      <c r="L287" s="24">
        <v>2433</v>
      </c>
      <c r="M287" s="1">
        <f t="shared" si="30"/>
        <v>2654</v>
      </c>
      <c r="N287" s="4">
        <f t="shared" si="27"/>
        <v>0.8462608695652174</v>
      </c>
      <c r="O287" s="4">
        <f t="shared" si="28"/>
        <v>0.74401476005393863</v>
      </c>
      <c r="P287" s="4">
        <f t="shared" si="29"/>
        <v>0.90931191476346152</v>
      </c>
      <c r="Q287" s="24" t="s">
        <v>30</v>
      </c>
      <c r="R287" s="1" t="s">
        <v>48</v>
      </c>
      <c r="S287" s="24" t="s">
        <v>771</v>
      </c>
      <c r="V287" s="24" t="s">
        <v>772</v>
      </c>
      <c r="AB287" s="24" t="s">
        <v>65</v>
      </c>
      <c r="AC287" s="43">
        <v>16804</v>
      </c>
      <c r="AD287" s="43">
        <v>111322</v>
      </c>
      <c r="AE287" s="44" t="s">
        <v>1172</v>
      </c>
    </row>
    <row r="288" spans="1:32" s="24" customFormat="1" ht="15" customHeight="1">
      <c r="A288" s="24" t="s">
        <v>774</v>
      </c>
      <c r="C288" s="24">
        <v>222021</v>
      </c>
      <c r="D288" s="1" t="s">
        <v>27</v>
      </c>
      <c r="E288" s="24">
        <v>0.17</v>
      </c>
      <c r="F288" s="24">
        <v>1.47</v>
      </c>
      <c r="G288" s="9">
        <v>2.2530461000000002</v>
      </c>
      <c r="H288" s="9">
        <v>37.869244700000003</v>
      </c>
      <c r="I288" s="24" t="s">
        <v>770</v>
      </c>
      <c r="J288" s="24" t="s">
        <v>187</v>
      </c>
      <c r="K288" s="24">
        <v>484</v>
      </c>
      <c r="L288" s="24">
        <v>473</v>
      </c>
      <c r="M288" s="1">
        <f t="shared" si="30"/>
        <v>478.5</v>
      </c>
      <c r="N288" s="4">
        <f t="shared" si="27"/>
        <v>0.97727272727272729</v>
      </c>
      <c r="O288" s="4">
        <f t="shared" si="28"/>
        <v>0.92399222476682641</v>
      </c>
      <c r="P288" s="4">
        <f t="shared" si="29"/>
        <v>0.98860798946784201</v>
      </c>
      <c r="Q288" s="24" t="s">
        <v>30</v>
      </c>
      <c r="R288" s="1" t="s">
        <v>48</v>
      </c>
      <c r="S288" s="24" t="s">
        <v>771</v>
      </c>
      <c r="V288" s="24" t="s">
        <v>772</v>
      </c>
      <c r="AB288" s="24" t="s">
        <v>65</v>
      </c>
      <c r="AC288" s="43">
        <v>16804</v>
      </c>
      <c r="AD288" s="43">
        <v>111322</v>
      </c>
      <c r="AE288" s="44" t="s">
        <v>1172</v>
      </c>
    </row>
    <row r="289" spans="1:31" s="24" customFormat="1" ht="15" customHeight="1">
      <c r="A289" s="24" t="s">
        <v>802</v>
      </c>
      <c r="C289" s="24">
        <v>222021</v>
      </c>
      <c r="D289" s="1" t="s">
        <v>27</v>
      </c>
      <c r="E289" s="24">
        <v>0.43</v>
      </c>
      <c r="F289" s="24">
        <v>2.38</v>
      </c>
      <c r="G289" s="9">
        <v>2.4364891000000002</v>
      </c>
      <c r="H289" s="9">
        <v>37.783492199999998</v>
      </c>
      <c r="I289" s="24" t="s">
        <v>770</v>
      </c>
      <c r="J289" s="24" t="s">
        <v>29</v>
      </c>
      <c r="K289" s="24">
        <v>789</v>
      </c>
      <c r="L289" s="24">
        <v>756</v>
      </c>
      <c r="M289" s="1">
        <f t="shared" si="30"/>
        <v>772.5</v>
      </c>
      <c r="N289" s="4">
        <f t="shared" si="27"/>
        <v>0.95817490494296575</v>
      </c>
      <c r="O289" s="4">
        <f t="shared" si="28"/>
        <v>0.8794771650050679</v>
      </c>
      <c r="P289" s="4">
        <f t="shared" si="29"/>
        <v>0.95394734908806644</v>
      </c>
      <c r="Q289" s="24" t="s">
        <v>30</v>
      </c>
      <c r="R289" s="1" t="s">
        <v>48</v>
      </c>
      <c r="S289" s="24" t="s">
        <v>771</v>
      </c>
      <c r="V289" s="24" t="s">
        <v>772</v>
      </c>
      <c r="AB289" s="24" t="s">
        <v>65</v>
      </c>
      <c r="AC289" s="43">
        <v>16804</v>
      </c>
      <c r="AD289" s="43">
        <v>111322</v>
      </c>
      <c r="AE289" s="44" t="s">
        <v>1172</v>
      </c>
    </row>
    <row r="290" spans="1:31" s="24" customFormat="1" ht="15" customHeight="1">
      <c r="A290" s="24" t="s">
        <v>798</v>
      </c>
      <c r="C290" s="24">
        <v>222021</v>
      </c>
      <c r="D290" s="1" t="s">
        <v>27</v>
      </c>
      <c r="E290" s="24">
        <v>3.1</v>
      </c>
      <c r="F290" s="24">
        <v>6.32</v>
      </c>
      <c r="G290" s="9">
        <v>2.2779790000000002</v>
      </c>
      <c r="H290" s="9">
        <v>37.826365500000001</v>
      </c>
      <c r="I290" s="24" t="s">
        <v>770</v>
      </c>
      <c r="J290" s="24" t="s">
        <v>29</v>
      </c>
      <c r="K290" s="24">
        <v>2068</v>
      </c>
      <c r="L290" s="24">
        <v>1852</v>
      </c>
      <c r="M290" s="1">
        <f t="shared" si="30"/>
        <v>1960</v>
      </c>
      <c r="N290" s="4">
        <f t="shared" si="27"/>
        <v>0.89555125725338491</v>
      </c>
      <c r="O290" s="4">
        <f t="shared" si="28"/>
        <v>0.92293420901136136</v>
      </c>
      <c r="P290" s="4">
        <f t="shared" si="29"/>
        <v>0.97529815195164615</v>
      </c>
      <c r="Q290" s="24" t="s">
        <v>30</v>
      </c>
      <c r="R290" s="1" t="s">
        <v>48</v>
      </c>
      <c r="S290" s="24" t="s">
        <v>771</v>
      </c>
      <c r="V290" s="24" t="s">
        <v>772</v>
      </c>
      <c r="AB290" s="24" t="s">
        <v>65</v>
      </c>
      <c r="AC290" s="43">
        <v>16804</v>
      </c>
      <c r="AD290" s="43">
        <v>111322</v>
      </c>
      <c r="AE290" s="44" t="s">
        <v>1172</v>
      </c>
    </row>
    <row r="291" spans="1:31" s="24" customFormat="1" ht="15" customHeight="1">
      <c r="A291" s="24" t="s">
        <v>799</v>
      </c>
      <c r="C291" s="24">
        <v>222021</v>
      </c>
      <c r="D291" s="1" t="s">
        <v>27</v>
      </c>
      <c r="E291" s="24">
        <v>0.87</v>
      </c>
      <c r="F291" s="24">
        <v>3.65</v>
      </c>
      <c r="G291" s="9">
        <v>2.3428754999999999</v>
      </c>
      <c r="H291" s="9">
        <v>37.916588900000001</v>
      </c>
      <c r="I291" s="24" t="s">
        <v>770</v>
      </c>
      <c r="J291" s="24" t="s">
        <v>29</v>
      </c>
      <c r="K291" s="24">
        <v>1318</v>
      </c>
      <c r="L291" s="24">
        <v>987</v>
      </c>
      <c r="M291" s="1">
        <f t="shared" si="30"/>
        <v>1152.5</v>
      </c>
      <c r="N291" s="4">
        <f t="shared" si="27"/>
        <v>0.74886191198786034</v>
      </c>
      <c r="O291" s="4">
        <f t="shared" si="28"/>
        <v>0.63767376647815099</v>
      </c>
      <c r="P291" s="4">
        <f t="shared" si="29"/>
        <v>0.82062243831806947</v>
      </c>
      <c r="Q291" s="24" t="s">
        <v>30</v>
      </c>
      <c r="R291" s="1" t="s">
        <v>48</v>
      </c>
      <c r="S291" s="24" t="s">
        <v>771</v>
      </c>
      <c r="V291" s="24" t="s">
        <v>772</v>
      </c>
      <c r="AB291" s="24" t="s">
        <v>48</v>
      </c>
      <c r="AC291" s="43">
        <v>16804</v>
      </c>
      <c r="AD291" s="43">
        <v>111322</v>
      </c>
      <c r="AE291" s="44" t="s">
        <v>1172</v>
      </c>
    </row>
    <row r="292" spans="1:31" s="24" customFormat="1" ht="15" customHeight="1">
      <c r="A292" s="24" t="s">
        <v>775</v>
      </c>
      <c r="C292" s="24">
        <v>222021</v>
      </c>
      <c r="D292" s="1" t="s">
        <v>27</v>
      </c>
      <c r="E292" s="24">
        <v>3.45</v>
      </c>
      <c r="F292" s="24">
        <v>6.66</v>
      </c>
      <c r="G292" s="9">
        <v>2.4113737</v>
      </c>
      <c r="H292" s="9">
        <v>38.047263800000003</v>
      </c>
      <c r="I292" s="24" t="s">
        <v>770</v>
      </c>
      <c r="J292" s="24" t="s">
        <v>778</v>
      </c>
      <c r="K292" s="24">
        <v>2116</v>
      </c>
      <c r="L292" s="24">
        <v>2111</v>
      </c>
      <c r="M292" s="1">
        <f t="shared" si="30"/>
        <v>2113.5</v>
      </c>
      <c r="N292" s="4">
        <f t="shared" si="27"/>
        <v>0.99763705103969758</v>
      </c>
      <c r="O292" s="4">
        <f t="shared" ref="O292:O323" si="31">E292/(PI()*((K292/2000)^2))</f>
        <v>0.98106523645041099</v>
      </c>
      <c r="P292" s="4">
        <f t="shared" ref="P292:P323" si="32">E292/(((F292/(2*PI()))^2)*PI())</f>
        <v>0.97741837827780786</v>
      </c>
      <c r="Q292" s="24" t="s">
        <v>30</v>
      </c>
      <c r="R292" s="1" t="s">
        <v>48</v>
      </c>
      <c r="S292" s="24" t="s">
        <v>771</v>
      </c>
      <c r="V292" s="24" t="s">
        <v>772</v>
      </c>
      <c r="AB292" s="24" t="s">
        <v>65</v>
      </c>
      <c r="AC292" s="43">
        <v>16804</v>
      </c>
      <c r="AD292" s="43">
        <v>111322</v>
      </c>
      <c r="AE292" s="44" t="s">
        <v>1172</v>
      </c>
    </row>
    <row r="293" spans="1:31" s="24" customFormat="1" ht="15" customHeight="1">
      <c r="A293" s="24" t="s">
        <v>800</v>
      </c>
      <c r="C293" s="24">
        <v>222021</v>
      </c>
      <c r="D293" s="1" t="s">
        <v>27</v>
      </c>
      <c r="E293" s="24">
        <v>0.88</v>
      </c>
      <c r="F293" s="24">
        <v>3.41</v>
      </c>
      <c r="G293" s="9">
        <v>2.3320264000000002</v>
      </c>
      <c r="H293" s="9">
        <v>37.897948200000002</v>
      </c>
      <c r="I293" s="24" t="s">
        <v>770</v>
      </c>
      <c r="J293" s="24" t="s">
        <v>778</v>
      </c>
      <c r="K293" s="24">
        <v>1214</v>
      </c>
      <c r="L293" s="24">
        <v>913</v>
      </c>
      <c r="M293" s="1">
        <f t="shared" si="30"/>
        <v>1063.5</v>
      </c>
      <c r="N293" s="4">
        <f t="shared" si="27"/>
        <v>0.75205930807248766</v>
      </c>
      <c r="O293" s="4">
        <f t="shared" si="31"/>
        <v>0.76024822931188796</v>
      </c>
      <c r="P293" s="4">
        <f t="shared" si="32"/>
        <v>0.95100714137615516</v>
      </c>
      <c r="Q293" s="24" t="s">
        <v>30</v>
      </c>
      <c r="R293" s="1" t="s">
        <v>48</v>
      </c>
      <c r="S293" s="24" t="s">
        <v>771</v>
      </c>
      <c r="V293" s="24" t="s">
        <v>772</v>
      </c>
      <c r="AB293" s="24" t="s">
        <v>65</v>
      </c>
      <c r="AC293" s="43">
        <v>16804</v>
      </c>
      <c r="AD293" s="43">
        <v>111322</v>
      </c>
      <c r="AE293" s="44" t="s">
        <v>1172</v>
      </c>
    </row>
    <row r="294" spans="1:31" s="24" customFormat="1" ht="15" customHeight="1">
      <c r="A294" s="24" t="s">
        <v>1009</v>
      </c>
      <c r="C294" s="24">
        <v>222021</v>
      </c>
      <c r="D294" s="1" t="s">
        <v>27</v>
      </c>
      <c r="E294" s="24">
        <v>0.72</v>
      </c>
      <c r="F294" s="24">
        <v>3.07</v>
      </c>
      <c r="G294" s="9">
        <v>2.3104979000000001</v>
      </c>
      <c r="H294" s="9">
        <v>37.968087500000003</v>
      </c>
      <c r="I294" s="24" t="s">
        <v>770</v>
      </c>
      <c r="J294" s="24" t="s">
        <v>187</v>
      </c>
      <c r="K294" s="24">
        <v>1028</v>
      </c>
      <c r="L294" s="24">
        <v>890</v>
      </c>
      <c r="M294" s="1">
        <f t="shared" si="30"/>
        <v>959</v>
      </c>
      <c r="N294" s="4">
        <f t="shared" si="27"/>
        <v>0.86575875486381326</v>
      </c>
      <c r="O294" s="4">
        <f t="shared" si="31"/>
        <v>0.86747383780348408</v>
      </c>
      <c r="P294" s="4">
        <f t="shared" si="32"/>
        <v>0.9599875693470068</v>
      </c>
      <c r="Q294" s="24" t="s">
        <v>30</v>
      </c>
      <c r="R294" s="1" t="s">
        <v>48</v>
      </c>
      <c r="S294" s="24" t="s">
        <v>771</v>
      </c>
      <c r="V294" s="24" t="s">
        <v>772</v>
      </c>
      <c r="AB294" s="24" t="s">
        <v>65</v>
      </c>
      <c r="AC294" s="43">
        <v>16804</v>
      </c>
      <c r="AD294" s="43">
        <v>111322</v>
      </c>
      <c r="AE294" s="44" t="s">
        <v>1172</v>
      </c>
    </row>
    <row r="295" spans="1:31" s="24" customFormat="1" ht="15" customHeight="1">
      <c r="A295" s="24" t="s">
        <v>776</v>
      </c>
      <c r="C295" s="24">
        <v>222021</v>
      </c>
      <c r="D295" s="1" t="s">
        <v>27</v>
      </c>
      <c r="E295" s="24">
        <v>0.99</v>
      </c>
      <c r="F295" s="24">
        <v>3.64</v>
      </c>
      <c r="G295" s="9">
        <v>2.3773906999999999</v>
      </c>
      <c r="H295" s="9">
        <v>38.0071078</v>
      </c>
      <c r="I295" s="24" t="s">
        <v>770</v>
      </c>
      <c r="J295" s="24" t="s">
        <v>29</v>
      </c>
      <c r="K295" s="24">
        <v>1264</v>
      </c>
      <c r="L295" s="24">
        <v>1068</v>
      </c>
      <c r="M295" s="1">
        <f t="shared" si="30"/>
        <v>1166</v>
      </c>
      <c r="N295" s="4">
        <f t="shared" si="27"/>
        <v>0.84493670886075944</v>
      </c>
      <c r="O295" s="4">
        <f t="shared" si="31"/>
        <v>0.78895306071230764</v>
      </c>
      <c r="P295" s="4">
        <f t="shared" si="32"/>
        <v>0.93894962174070007</v>
      </c>
      <c r="Q295" s="24" t="s">
        <v>30</v>
      </c>
      <c r="R295" s="1" t="s">
        <v>48</v>
      </c>
      <c r="S295" s="24" t="s">
        <v>771</v>
      </c>
      <c r="V295" s="24" t="s">
        <v>772</v>
      </c>
      <c r="AB295" s="24" t="s">
        <v>65</v>
      </c>
      <c r="AC295" s="43">
        <v>16804</v>
      </c>
      <c r="AD295" s="43">
        <v>111322</v>
      </c>
      <c r="AE295" s="44" t="s">
        <v>1172</v>
      </c>
    </row>
    <row r="296" spans="1:31" s="24" customFormat="1" ht="15" customHeight="1">
      <c r="A296" s="24" t="s">
        <v>777</v>
      </c>
      <c r="C296" s="24">
        <v>222021</v>
      </c>
      <c r="D296" s="1" t="s">
        <v>27</v>
      </c>
      <c r="E296" s="24">
        <v>1.74</v>
      </c>
      <c r="F296" s="24">
        <v>4.72</v>
      </c>
      <c r="G296" s="9">
        <v>2.4524469</v>
      </c>
      <c r="H296" s="9">
        <v>38.006456999999997</v>
      </c>
      <c r="I296" s="24" t="s">
        <v>770</v>
      </c>
      <c r="J296" s="24" t="s">
        <v>29</v>
      </c>
      <c r="K296" s="24">
        <v>1520</v>
      </c>
      <c r="L296" s="24">
        <v>1465</v>
      </c>
      <c r="M296" s="1">
        <f t="shared" si="30"/>
        <v>1492.5</v>
      </c>
      <c r="N296" s="4">
        <f t="shared" si="27"/>
        <v>0.96381578947368418</v>
      </c>
      <c r="O296" s="4">
        <f t="shared" si="31"/>
        <v>0.95889751031820603</v>
      </c>
      <c r="P296" s="4">
        <f t="shared" si="32"/>
        <v>0.98146567388075279</v>
      </c>
      <c r="Q296" s="24" t="s">
        <v>30</v>
      </c>
      <c r="R296" s="1" t="s">
        <v>48</v>
      </c>
      <c r="S296" s="24" t="s">
        <v>771</v>
      </c>
      <c r="V296" s="24" t="s">
        <v>772</v>
      </c>
      <c r="AB296" s="24" t="s">
        <v>65</v>
      </c>
      <c r="AC296" s="43">
        <v>16804</v>
      </c>
      <c r="AD296" s="43">
        <v>111322</v>
      </c>
      <c r="AE296" s="44" t="s">
        <v>1172</v>
      </c>
    </row>
    <row r="297" spans="1:31" s="24" customFormat="1" ht="15" customHeight="1">
      <c r="A297" s="24" t="s">
        <v>795</v>
      </c>
      <c r="C297" s="24">
        <v>222021</v>
      </c>
      <c r="D297" s="1" t="s">
        <v>27</v>
      </c>
      <c r="E297" s="24">
        <v>3.1</v>
      </c>
      <c r="F297" s="24">
        <v>6.67</v>
      </c>
      <c r="G297" s="9">
        <v>2.5053747999999998</v>
      </c>
      <c r="H297" s="9">
        <v>37.977893600000002</v>
      </c>
      <c r="I297" s="24" t="s">
        <v>770</v>
      </c>
      <c r="J297" s="24" t="s">
        <v>29</v>
      </c>
      <c r="K297" s="24">
        <v>2432</v>
      </c>
      <c r="L297" s="24">
        <v>1456</v>
      </c>
      <c r="M297" s="1">
        <f t="shared" si="30"/>
        <v>1944</v>
      </c>
      <c r="N297" s="4">
        <f t="shared" si="27"/>
        <v>0.59868421052631582</v>
      </c>
      <c r="O297" s="4">
        <f t="shared" si="31"/>
        <v>0.66733618040284637</v>
      </c>
      <c r="P297" s="4">
        <f t="shared" si="32"/>
        <v>0.87562850294148509</v>
      </c>
      <c r="Q297" s="24" t="s">
        <v>30</v>
      </c>
      <c r="R297" s="1" t="s">
        <v>48</v>
      </c>
      <c r="S297" s="24" t="s">
        <v>771</v>
      </c>
      <c r="V297" s="24" t="s">
        <v>772</v>
      </c>
      <c r="AB297" s="24" t="s">
        <v>65</v>
      </c>
      <c r="AC297" s="43">
        <v>16804</v>
      </c>
      <c r="AD297" s="43">
        <v>111322</v>
      </c>
      <c r="AE297" s="44" t="s">
        <v>1172</v>
      </c>
    </row>
    <row r="298" spans="1:31" s="24" customFormat="1" ht="15" customHeight="1">
      <c r="A298" s="24" t="s">
        <v>779</v>
      </c>
      <c r="C298" s="24">
        <v>222021</v>
      </c>
      <c r="D298" s="1" t="s">
        <v>27</v>
      </c>
      <c r="E298" s="24">
        <v>3.29</v>
      </c>
      <c r="F298" s="24">
        <v>6.64</v>
      </c>
      <c r="G298" s="9">
        <v>2.1861928000000002</v>
      </c>
      <c r="H298" s="9">
        <v>37.7749478</v>
      </c>
      <c r="I298" s="24" t="s">
        <v>770</v>
      </c>
      <c r="J298" s="24" t="s">
        <v>29</v>
      </c>
      <c r="K298" s="24">
        <v>2355</v>
      </c>
      <c r="L298" s="24">
        <v>1861</v>
      </c>
      <c r="M298" s="1">
        <f t="shared" si="30"/>
        <v>2108</v>
      </c>
      <c r="N298" s="4">
        <f t="shared" si="27"/>
        <v>0.79023354564755843</v>
      </c>
      <c r="O298" s="4">
        <f t="shared" si="31"/>
        <v>0.75530818959140744</v>
      </c>
      <c r="P298" s="4">
        <f t="shared" si="32"/>
        <v>0.93771227956800862</v>
      </c>
      <c r="Q298" s="24" t="s">
        <v>30</v>
      </c>
      <c r="R298" s="1" t="s">
        <v>48</v>
      </c>
      <c r="S298" s="24" t="s">
        <v>771</v>
      </c>
      <c r="V298" s="24" t="s">
        <v>772</v>
      </c>
      <c r="AB298" s="24" t="s">
        <v>65</v>
      </c>
      <c r="AC298" s="43">
        <v>16804</v>
      </c>
      <c r="AD298" s="43">
        <v>111322</v>
      </c>
      <c r="AE298" s="44" t="s">
        <v>1172</v>
      </c>
    </row>
    <row r="299" spans="1:31" s="24" customFormat="1" ht="15" customHeight="1">
      <c r="A299" s="24" t="s">
        <v>780</v>
      </c>
      <c r="C299" s="24">
        <v>222021</v>
      </c>
      <c r="D299" s="1" t="s">
        <v>27</v>
      </c>
      <c r="E299" s="24">
        <v>1.24</v>
      </c>
      <c r="F299" s="24">
        <v>3.98</v>
      </c>
      <c r="G299" s="9">
        <v>2.193254</v>
      </c>
      <c r="H299" s="9">
        <v>37.726797400000002</v>
      </c>
      <c r="I299" s="24" t="s">
        <v>770</v>
      </c>
      <c r="J299" s="24" t="s">
        <v>29</v>
      </c>
      <c r="K299" s="24">
        <v>1326</v>
      </c>
      <c r="L299" s="24">
        <v>1228</v>
      </c>
      <c r="M299" s="1">
        <f t="shared" si="30"/>
        <v>1277</v>
      </c>
      <c r="N299" s="4">
        <f t="shared" si="27"/>
        <v>0.92609351432880849</v>
      </c>
      <c r="O299" s="4">
        <f t="shared" si="31"/>
        <v>0.89793470164615896</v>
      </c>
      <c r="P299" s="4">
        <f t="shared" si="32"/>
        <v>0.98370619187680686</v>
      </c>
      <c r="Q299" s="24" t="s">
        <v>30</v>
      </c>
      <c r="R299" s="1" t="s">
        <v>48</v>
      </c>
      <c r="S299" s="24" t="s">
        <v>771</v>
      </c>
      <c r="V299" s="24" t="s">
        <v>772</v>
      </c>
      <c r="AB299" s="24" t="s">
        <v>65</v>
      </c>
      <c r="AC299" s="43">
        <v>16804</v>
      </c>
      <c r="AD299" s="43">
        <v>111322</v>
      </c>
      <c r="AE299" s="44" t="s">
        <v>1172</v>
      </c>
    </row>
    <row r="300" spans="1:31" s="24" customFormat="1" ht="15" customHeight="1">
      <c r="A300" s="24" t="s">
        <v>801</v>
      </c>
      <c r="C300" s="24">
        <v>222021</v>
      </c>
      <c r="D300" s="1" t="s">
        <v>27</v>
      </c>
      <c r="E300" s="24">
        <v>2.57</v>
      </c>
      <c r="F300" s="24">
        <v>5.79</v>
      </c>
      <c r="G300" s="9">
        <v>2.5216390999999998</v>
      </c>
      <c r="H300" s="9">
        <v>37.7020269</v>
      </c>
      <c r="I300" s="24" t="s">
        <v>770</v>
      </c>
      <c r="J300" s="24" t="s">
        <v>29</v>
      </c>
      <c r="K300" s="24">
        <v>1909</v>
      </c>
      <c r="L300" s="24">
        <v>1775</v>
      </c>
      <c r="M300" s="1">
        <f t="shared" si="30"/>
        <v>1842</v>
      </c>
      <c r="N300" s="4">
        <f t="shared" si="27"/>
        <v>0.92980618124672598</v>
      </c>
      <c r="O300" s="4">
        <f t="shared" si="31"/>
        <v>0.89790705765262557</v>
      </c>
      <c r="P300" s="4">
        <f t="shared" si="32"/>
        <v>0.96335389999740684</v>
      </c>
      <c r="Q300" s="24" t="s">
        <v>30</v>
      </c>
      <c r="R300" s="1" t="s">
        <v>48</v>
      </c>
      <c r="S300" s="24" t="s">
        <v>771</v>
      </c>
      <c r="V300" s="24" t="s">
        <v>772</v>
      </c>
      <c r="AB300" s="24" t="s">
        <v>65</v>
      </c>
      <c r="AC300" s="43">
        <v>16804</v>
      </c>
      <c r="AD300" s="43">
        <v>111322</v>
      </c>
      <c r="AE300" s="44" t="s">
        <v>1172</v>
      </c>
    </row>
    <row r="301" spans="1:31" s="24" customFormat="1" ht="15" customHeight="1">
      <c r="A301" s="24" t="s">
        <v>797</v>
      </c>
      <c r="C301" s="24">
        <v>222021</v>
      </c>
      <c r="D301" s="1" t="s">
        <v>27</v>
      </c>
      <c r="E301" s="24">
        <v>1.82</v>
      </c>
      <c r="F301" s="24">
        <v>4.84</v>
      </c>
      <c r="G301" s="9">
        <v>2.6294027</v>
      </c>
      <c r="H301" s="9">
        <v>37.798379199999999</v>
      </c>
      <c r="I301" s="24" t="s">
        <v>770</v>
      </c>
      <c r="J301" s="24" t="s">
        <v>29</v>
      </c>
      <c r="K301" s="24">
        <v>1623</v>
      </c>
      <c r="L301" s="24">
        <v>1426</v>
      </c>
      <c r="M301" s="1">
        <f t="shared" si="30"/>
        <v>1524.5</v>
      </c>
      <c r="N301" s="4">
        <f t="shared" si="27"/>
        <v>0.87861983980283431</v>
      </c>
      <c r="O301" s="4">
        <f t="shared" si="31"/>
        <v>0.87972000286166552</v>
      </c>
      <c r="P301" s="4">
        <f t="shared" si="32"/>
        <v>0.97631627442343838</v>
      </c>
      <c r="Q301" s="24" t="s">
        <v>30</v>
      </c>
      <c r="R301" s="1" t="s">
        <v>48</v>
      </c>
      <c r="S301" s="24" t="s">
        <v>771</v>
      </c>
      <c r="V301" s="24" t="s">
        <v>772</v>
      </c>
      <c r="AB301" s="24" t="s">
        <v>65</v>
      </c>
      <c r="AC301" s="43">
        <v>16804</v>
      </c>
      <c r="AD301" s="43">
        <v>111322</v>
      </c>
      <c r="AE301" s="44" t="s">
        <v>1172</v>
      </c>
    </row>
    <row r="302" spans="1:31" s="24" customFormat="1" ht="15" customHeight="1">
      <c r="A302" s="24" t="s">
        <v>781</v>
      </c>
      <c r="C302" s="24">
        <v>222021</v>
      </c>
      <c r="D302" s="1" t="s">
        <v>27</v>
      </c>
      <c r="E302" s="24">
        <v>1.28</v>
      </c>
      <c r="F302" s="24">
        <v>4.0999999999999996</v>
      </c>
      <c r="G302" s="9">
        <v>2.5369408999999998</v>
      </c>
      <c r="H302" s="9">
        <v>38.038802599999997</v>
      </c>
      <c r="I302" s="24" t="s">
        <v>770</v>
      </c>
      <c r="J302" s="24" t="s">
        <v>29</v>
      </c>
      <c r="K302" s="24">
        <v>1356</v>
      </c>
      <c r="L302" s="24">
        <v>1286</v>
      </c>
      <c r="M302" s="1">
        <f t="shared" si="30"/>
        <v>1321</v>
      </c>
      <c r="N302" s="4">
        <f t="shared" si="27"/>
        <v>0.94837758112094395</v>
      </c>
      <c r="O302" s="4">
        <f t="shared" si="31"/>
        <v>0.88634073475529296</v>
      </c>
      <c r="P302" s="4">
        <f t="shared" si="32"/>
        <v>0.9568681966912399</v>
      </c>
      <c r="Q302" s="24" t="s">
        <v>30</v>
      </c>
      <c r="R302" s="1" t="s">
        <v>48</v>
      </c>
      <c r="S302" s="24" t="s">
        <v>771</v>
      </c>
      <c r="V302" s="24" t="s">
        <v>772</v>
      </c>
      <c r="AB302" s="24" t="s">
        <v>65</v>
      </c>
      <c r="AC302" s="43">
        <v>16804</v>
      </c>
      <c r="AD302" s="43">
        <v>111322</v>
      </c>
      <c r="AE302" s="44" t="s">
        <v>1172</v>
      </c>
    </row>
    <row r="303" spans="1:31" s="24" customFormat="1" ht="15" customHeight="1">
      <c r="A303" s="24" t="s">
        <v>782</v>
      </c>
      <c r="C303" s="24">
        <v>222021</v>
      </c>
      <c r="D303" s="1" t="s">
        <v>27</v>
      </c>
      <c r="E303" s="24">
        <v>0.28999999999999998</v>
      </c>
      <c r="F303" s="24">
        <v>2</v>
      </c>
      <c r="G303" s="9">
        <v>2.5581719999999999</v>
      </c>
      <c r="H303" s="9">
        <v>38.175136500000001</v>
      </c>
      <c r="I303" s="24" t="s">
        <v>770</v>
      </c>
      <c r="J303" s="24" t="s">
        <v>29</v>
      </c>
      <c r="K303" s="24">
        <v>724</v>
      </c>
      <c r="L303" s="24">
        <v>508</v>
      </c>
      <c r="M303" s="1">
        <f t="shared" si="30"/>
        <v>616</v>
      </c>
      <c r="N303" s="4">
        <f t="shared" si="27"/>
        <v>0.7016574585635359</v>
      </c>
      <c r="O303" s="4">
        <f t="shared" si="31"/>
        <v>0.70441887452534491</v>
      </c>
      <c r="P303" s="4">
        <f t="shared" si="32"/>
        <v>0.91106186954103996</v>
      </c>
      <c r="Q303" s="24" t="s">
        <v>30</v>
      </c>
      <c r="R303" s="1" t="s">
        <v>48</v>
      </c>
      <c r="S303" s="24" t="s">
        <v>771</v>
      </c>
      <c r="V303" s="24" t="s">
        <v>772</v>
      </c>
      <c r="AB303" s="24" t="s">
        <v>65</v>
      </c>
      <c r="AC303" s="43">
        <v>16804</v>
      </c>
      <c r="AD303" s="43">
        <v>111322</v>
      </c>
      <c r="AE303" s="44" t="s">
        <v>1172</v>
      </c>
    </row>
    <row r="304" spans="1:31" s="24" customFormat="1" ht="15" customHeight="1">
      <c r="A304" s="24" t="s">
        <v>783</v>
      </c>
      <c r="C304" s="24">
        <v>222021</v>
      </c>
      <c r="D304" s="1" t="s">
        <v>27</v>
      </c>
      <c r="E304" s="24">
        <v>3.9E-2</v>
      </c>
      <c r="F304" s="24">
        <v>0.71</v>
      </c>
      <c r="G304" s="9">
        <v>2.7121928999999998</v>
      </c>
      <c r="H304" s="9">
        <v>38.512735599999999</v>
      </c>
      <c r="I304" s="24" t="s">
        <v>770</v>
      </c>
      <c r="J304" s="24" t="s">
        <v>29</v>
      </c>
      <c r="K304" s="24">
        <v>245</v>
      </c>
      <c r="L304" s="24">
        <v>201</v>
      </c>
      <c r="M304" s="1">
        <f t="shared" si="30"/>
        <v>223</v>
      </c>
      <c r="N304" s="4">
        <f t="shared" si="27"/>
        <v>0.82040816326530608</v>
      </c>
      <c r="O304" s="4">
        <f t="shared" si="31"/>
        <v>0.82726101198952695</v>
      </c>
      <c r="P304" s="4">
        <f t="shared" si="32"/>
        <v>0.97220482832772814</v>
      </c>
      <c r="Q304" s="24" t="s">
        <v>30</v>
      </c>
      <c r="R304" s="1" t="s">
        <v>48</v>
      </c>
      <c r="S304" s="24" t="s">
        <v>771</v>
      </c>
      <c r="V304" s="24" t="s">
        <v>772</v>
      </c>
      <c r="AB304" s="24" t="s">
        <v>65</v>
      </c>
      <c r="AC304" s="43">
        <v>16804</v>
      </c>
      <c r="AD304" s="43">
        <v>111322</v>
      </c>
      <c r="AE304" s="44" t="s">
        <v>1172</v>
      </c>
    </row>
    <row r="305" spans="1:31" s="24" customFormat="1" ht="15" customHeight="1">
      <c r="A305" s="24" t="s">
        <v>784</v>
      </c>
      <c r="C305" s="24">
        <v>222801</v>
      </c>
      <c r="D305" s="1" t="s">
        <v>27</v>
      </c>
      <c r="E305" s="24">
        <v>0.26</v>
      </c>
      <c r="F305" s="24">
        <v>1.83</v>
      </c>
      <c r="G305" s="9">
        <v>2.9502092000000002</v>
      </c>
      <c r="H305" s="9">
        <v>37.130214700000003</v>
      </c>
      <c r="I305" s="24" t="s">
        <v>770</v>
      </c>
      <c r="J305" s="24" t="s">
        <v>29</v>
      </c>
      <c r="K305" s="24">
        <v>609</v>
      </c>
      <c r="L305" s="24">
        <v>529</v>
      </c>
      <c r="M305" s="1">
        <f t="shared" si="30"/>
        <v>569</v>
      </c>
      <c r="N305" s="4">
        <f t="shared" si="27"/>
        <v>0.86863711001642041</v>
      </c>
      <c r="O305" s="4">
        <f t="shared" si="31"/>
        <v>0.89258355545617696</v>
      </c>
      <c r="P305" s="4">
        <f t="shared" si="32"/>
        <v>0.9756207589755993</v>
      </c>
      <c r="Q305" s="24" t="s">
        <v>30</v>
      </c>
      <c r="R305" s="1" t="s">
        <v>31</v>
      </c>
      <c r="S305" s="24" t="s">
        <v>786</v>
      </c>
      <c r="V305" s="24" t="s">
        <v>772</v>
      </c>
      <c r="AB305" s="24" t="s">
        <v>65</v>
      </c>
      <c r="AC305" s="43" t="s">
        <v>36</v>
      </c>
      <c r="AD305" s="43" t="s">
        <v>36</v>
      </c>
      <c r="AE305" s="44" t="s">
        <v>43</v>
      </c>
    </row>
    <row r="306" spans="1:31" s="24" customFormat="1" ht="15" customHeight="1">
      <c r="A306" s="24" t="s">
        <v>785</v>
      </c>
      <c r="C306" s="24">
        <v>222801</v>
      </c>
      <c r="D306" s="1" t="s">
        <v>27</v>
      </c>
      <c r="E306" s="24">
        <v>0.105</v>
      </c>
      <c r="F306" s="24">
        <v>1.1599999999999999</v>
      </c>
      <c r="G306" s="9">
        <v>3.0493106000000001</v>
      </c>
      <c r="H306" s="9">
        <v>37.091227799999999</v>
      </c>
      <c r="I306" s="24" t="s">
        <v>770</v>
      </c>
      <c r="J306" s="24" t="s">
        <v>29</v>
      </c>
      <c r="K306" s="24">
        <v>384</v>
      </c>
      <c r="L306" s="24">
        <v>355</v>
      </c>
      <c r="M306" s="1">
        <f t="shared" si="30"/>
        <v>369.5</v>
      </c>
      <c r="N306" s="4">
        <f t="shared" si="27"/>
        <v>0.92447916666666663</v>
      </c>
      <c r="O306" s="4">
        <f t="shared" si="31"/>
        <v>0.90664436982687779</v>
      </c>
      <c r="P306" s="4">
        <f t="shared" si="32"/>
        <v>0.98058034669122551</v>
      </c>
      <c r="Q306" s="24" t="s">
        <v>30</v>
      </c>
      <c r="R306" s="1" t="s">
        <v>31</v>
      </c>
      <c r="S306" s="24" t="s">
        <v>787</v>
      </c>
      <c r="V306" s="24" t="s">
        <v>772</v>
      </c>
      <c r="AB306" s="24" t="s">
        <v>65</v>
      </c>
      <c r="AC306" s="43" t="s">
        <v>36</v>
      </c>
      <c r="AD306" s="43" t="s">
        <v>36</v>
      </c>
      <c r="AE306" s="44" t="s">
        <v>43</v>
      </c>
    </row>
    <row r="307" spans="1:31" s="24" customFormat="1" ht="15" customHeight="1">
      <c r="A307" s="9" t="s">
        <v>790</v>
      </c>
      <c r="C307" s="24">
        <v>231170</v>
      </c>
      <c r="D307" s="1" t="s">
        <v>27</v>
      </c>
      <c r="E307" s="24">
        <v>1.37</v>
      </c>
      <c r="F307" s="24">
        <v>4.21</v>
      </c>
      <c r="G307" s="9">
        <v>14.0268268</v>
      </c>
      <c r="H307" s="9">
        <v>48.381824100000003</v>
      </c>
      <c r="I307" s="24" t="s">
        <v>788</v>
      </c>
      <c r="J307" s="24" t="s">
        <v>187</v>
      </c>
      <c r="K307" s="24">
        <v>1486</v>
      </c>
      <c r="L307" s="24">
        <v>1203</v>
      </c>
      <c r="M307" s="1">
        <f t="shared" si="30"/>
        <v>1344.5</v>
      </c>
      <c r="N307" s="4">
        <f t="shared" si="27"/>
        <v>0.80955585464333779</v>
      </c>
      <c r="O307" s="4">
        <f t="shared" si="31"/>
        <v>0.78993811069632092</v>
      </c>
      <c r="P307" s="4">
        <f t="shared" si="32"/>
        <v>0.97132874118697532</v>
      </c>
      <c r="Q307" s="24" t="s">
        <v>47</v>
      </c>
      <c r="R307" s="24" t="s">
        <v>65</v>
      </c>
      <c r="S307" s="24" t="s">
        <v>789</v>
      </c>
      <c r="V307" s="24" t="s">
        <v>757</v>
      </c>
      <c r="W307" s="24">
        <v>209</v>
      </c>
      <c r="AB307" s="24" t="s">
        <v>65</v>
      </c>
      <c r="AC307" s="43">
        <v>5690</v>
      </c>
      <c r="AD307" s="43">
        <v>177124</v>
      </c>
      <c r="AE307" s="44" t="s">
        <v>43</v>
      </c>
    </row>
    <row r="308" spans="1:31" s="24" customFormat="1" ht="15" customHeight="1">
      <c r="A308" s="24" t="s">
        <v>792</v>
      </c>
      <c r="C308" s="24">
        <v>231806</v>
      </c>
      <c r="D308" s="1" t="s">
        <v>27</v>
      </c>
      <c r="E308" s="24">
        <v>1.68</v>
      </c>
      <c r="F308" s="24">
        <v>4.67</v>
      </c>
      <c r="G308" s="9">
        <v>26.9890364</v>
      </c>
      <c r="H308" s="9">
        <v>42.246556699999999</v>
      </c>
      <c r="I308" s="24" t="s">
        <v>267</v>
      </c>
      <c r="J308" s="24" t="s">
        <v>29</v>
      </c>
      <c r="K308" s="24">
        <v>1539</v>
      </c>
      <c r="L308" s="24">
        <v>1385</v>
      </c>
      <c r="M308" s="1">
        <f t="shared" si="30"/>
        <v>1462</v>
      </c>
      <c r="N308" s="4">
        <f t="shared" si="27"/>
        <v>0.89993502274204029</v>
      </c>
      <c r="O308" s="4">
        <f t="shared" si="31"/>
        <v>0.90311313902434198</v>
      </c>
      <c r="P308" s="4">
        <f t="shared" si="32"/>
        <v>0.96802235014711469</v>
      </c>
      <c r="Q308" s="24" t="s">
        <v>47</v>
      </c>
      <c r="R308" s="24" t="s">
        <v>31</v>
      </c>
      <c r="S308" s="24" t="s">
        <v>791</v>
      </c>
      <c r="V308" s="24" t="s">
        <v>757</v>
      </c>
      <c r="Z308" s="24" t="s">
        <v>1061</v>
      </c>
      <c r="AB308" s="24" t="s">
        <v>65</v>
      </c>
      <c r="AC308" s="43"/>
      <c r="AD308" s="43"/>
      <c r="AE308" s="44" t="s">
        <v>1171</v>
      </c>
    </row>
    <row r="309" spans="1:31" s="24" customFormat="1" ht="15" customHeight="1">
      <c r="A309" s="24" t="s">
        <v>793</v>
      </c>
      <c r="C309" s="24">
        <v>231806</v>
      </c>
      <c r="D309" s="1" t="s">
        <v>27</v>
      </c>
      <c r="E309" s="24">
        <v>2.1</v>
      </c>
      <c r="F309" s="24">
        <v>5.43</v>
      </c>
      <c r="G309" s="9">
        <v>27.1861371</v>
      </c>
      <c r="H309" s="9">
        <v>42.377604499999997</v>
      </c>
      <c r="I309" s="24" t="s">
        <v>267</v>
      </c>
      <c r="J309" s="24" t="s">
        <v>29</v>
      </c>
      <c r="K309" s="24">
        <v>2065</v>
      </c>
      <c r="L309" s="24">
        <v>1433</v>
      </c>
      <c r="M309" s="1">
        <f t="shared" si="30"/>
        <v>1749</v>
      </c>
      <c r="N309" s="4">
        <f t="shared" si="27"/>
        <v>0.69394673123486683</v>
      </c>
      <c r="O309" s="4">
        <f t="shared" si="31"/>
        <v>0.6270314169500536</v>
      </c>
      <c r="P309" s="4">
        <f t="shared" si="32"/>
        <v>0.89501332173940795</v>
      </c>
      <c r="Q309" s="24" t="s">
        <v>47</v>
      </c>
      <c r="R309" s="24" t="s">
        <v>31</v>
      </c>
      <c r="S309" s="24" t="s">
        <v>791</v>
      </c>
      <c r="V309" s="24" t="s">
        <v>757</v>
      </c>
      <c r="AB309" s="24" t="s">
        <v>65</v>
      </c>
      <c r="AC309" s="43"/>
      <c r="AD309" s="43"/>
      <c r="AE309" s="44" t="s">
        <v>794</v>
      </c>
    </row>
    <row r="310" spans="1:31" s="24" customFormat="1" ht="15" customHeight="1">
      <c r="A310" s="24" t="s">
        <v>803</v>
      </c>
      <c r="B310" s="24" t="s">
        <v>804</v>
      </c>
      <c r="C310" s="24">
        <v>311350</v>
      </c>
      <c r="D310" s="1" t="s">
        <v>79</v>
      </c>
      <c r="E310" s="24">
        <v>6.09</v>
      </c>
      <c r="F310" s="24">
        <v>9.1999999999999993</v>
      </c>
      <c r="G310" s="57">
        <v>54.629773999999998</v>
      </c>
      <c r="H310" s="9">
        <v>-164.426501</v>
      </c>
      <c r="I310" s="1" t="s">
        <v>28</v>
      </c>
      <c r="J310" s="24" t="s">
        <v>187</v>
      </c>
      <c r="K310" s="24">
        <v>3091</v>
      </c>
      <c r="L310" s="24">
        <v>2780</v>
      </c>
      <c r="M310" s="1">
        <f t="shared" si="30"/>
        <v>2935.5</v>
      </c>
      <c r="N310" s="4">
        <f t="shared" si="27"/>
        <v>0.89938531219670015</v>
      </c>
      <c r="O310" s="4">
        <f t="shared" si="31"/>
        <v>0.81157638418182798</v>
      </c>
      <c r="P310" s="4">
        <f t="shared" si="32"/>
        <v>0.90417293290934986</v>
      </c>
      <c r="Q310" s="24" t="s">
        <v>30</v>
      </c>
      <c r="R310" s="24" t="s">
        <v>48</v>
      </c>
      <c r="S310" s="24" t="s">
        <v>805</v>
      </c>
      <c r="V310" s="24" t="s">
        <v>810</v>
      </c>
      <c r="AB310" s="24" t="s">
        <v>65</v>
      </c>
      <c r="AC310" s="43">
        <v>0</v>
      </c>
      <c r="AD310" s="43">
        <v>25</v>
      </c>
      <c r="AE310" s="44" t="s">
        <v>1028</v>
      </c>
    </row>
    <row r="311" spans="1:31" s="24" customFormat="1" ht="15" customHeight="1">
      <c r="A311" s="24" t="s">
        <v>806</v>
      </c>
      <c r="C311" s="24">
        <v>311350</v>
      </c>
      <c r="D311" s="1" t="s">
        <v>79</v>
      </c>
      <c r="E311" s="24">
        <v>0.38</v>
      </c>
      <c r="F311" s="24">
        <v>2.4900000000000002</v>
      </c>
      <c r="G311" s="9">
        <v>54.699489200000002</v>
      </c>
      <c r="H311" s="9">
        <v>-164.3083202</v>
      </c>
      <c r="I311" s="1" t="s">
        <v>28</v>
      </c>
      <c r="J311" s="24" t="s">
        <v>187</v>
      </c>
      <c r="K311" s="24">
        <v>1008</v>
      </c>
      <c r="L311" s="24">
        <v>544</v>
      </c>
      <c r="M311" s="1">
        <f t="shared" si="30"/>
        <v>776</v>
      </c>
      <c r="N311" s="4">
        <f t="shared" si="27"/>
        <v>0.53968253968253965</v>
      </c>
      <c r="O311" s="4">
        <f t="shared" si="31"/>
        <v>0.4761816450532268</v>
      </c>
      <c r="P311" s="4">
        <f t="shared" si="32"/>
        <v>0.77018448629158953</v>
      </c>
      <c r="Q311" s="24" t="s">
        <v>30</v>
      </c>
      <c r="R311" s="24" t="s">
        <v>48</v>
      </c>
      <c r="S311" s="24" t="s">
        <v>805</v>
      </c>
      <c r="V311" s="24" t="s">
        <v>810</v>
      </c>
      <c r="AB311" s="24" t="s">
        <v>65</v>
      </c>
      <c r="AC311" s="43">
        <v>0</v>
      </c>
      <c r="AD311" s="43">
        <v>25</v>
      </c>
      <c r="AE311" s="44" t="s">
        <v>1028</v>
      </c>
    </row>
    <row r="312" spans="1:31" s="24" customFormat="1" ht="15" customHeight="1">
      <c r="A312" s="24" t="s">
        <v>807</v>
      </c>
      <c r="C312" s="24">
        <v>311350</v>
      </c>
      <c r="D312" s="1" t="s">
        <v>79</v>
      </c>
      <c r="E312" s="24">
        <v>0.34</v>
      </c>
      <c r="F312" s="24">
        <v>2.19</v>
      </c>
      <c r="G312" s="9">
        <v>54.693031599999998</v>
      </c>
      <c r="H312" s="9">
        <v>-164.30882589999999</v>
      </c>
      <c r="I312" s="1" t="s">
        <v>28</v>
      </c>
      <c r="J312" s="24" t="s">
        <v>187</v>
      </c>
      <c r="K312" s="24">
        <v>752</v>
      </c>
      <c r="L312" s="24">
        <v>601</v>
      </c>
      <c r="M312" s="1">
        <f t="shared" si="30"/>
        <v>676.5</v>
      </c>
      <c r="N312" s="4">
        <f t="shared" si="27"/>
        <v>0.79920212765957444</v>
      </c>
      <c r="O312" s="4">
        <f t="shared" si="31"/>
        <v>0.76551438223240742</v>
      </c>
      <c r="P312" s="4">
        <f t="shared" si="32"/>
        <v>0.8908417274206375</v>
      </c>
      <c r="Q312" s="24" t="s">
        <v>30</v>
      </c>
      <c r="R312" s="24" t="s">
        <v>48</v>
      </c>
      <c r="S312" s="24" t="s">
        <v>805</v>
      </c>
      <c r="V312" s="24" t="s">
        <v>810</v>
      </c>
      <c r="AB312" s="24" t="s">
        <v>65</v>
      </c>
      <c r="AC312" s="43">
        <v>0</v>
      </c>
      <c r="AD312" s="43">
        <v>25</v>
      </c>
      <c r="AE312" s="44" t="s">
        <v>1028</v>
      </c>
    </row>
    <row r="313" spans="1:31" s="24" customFormat="1" ht="15" customHeight="1">
      <c r="A313" s="24" t="s">
        <v>809</v>
      </c>
      <c r="C313" s="24">
        <v>311360</v>
      </c>
      <c r="D313" s="1" t="s">
        <v>79</v>
      </c>
      <c r="E313" s="24">
        <v>1.01</v>
      </c>
      <c r="F313" s="24">
        <v>3.56</v>
      </c>
      <c r="G313" s="9">
        <v>54.691898299999998</v>
      </c>
      <c r="H313" s="9">
        <v>-163.8441986</v>
      </c>
      <c r="I313" s="1" t="s">
        <v>28</v>
      </c>
      <c r="J313" s="24" t="s">
        <v>187</v>
      </c>
      <c r="K313" s="24">
        <v>1261</v>
      </c>
      <c r="L313" s="24">
        <v>1064</v>
      </c>
      <c r="M313" s="1">
        <f t="shared" si="30"/>
        <v>1162.5</v>
      </c>
      <c r="N313" s="4">
        <f t="shared" si="27"/>
        <v>0.84377478191911182</v>
      </c>
      <c r="O313" s="4">
        <f t="shared" si="31"/>
        <v>0.80872583921759078</v>
      </c>
      <c r="P313" s="4">
        <f t="shared" si="32"/>
        <v>1.0014545449203673</v>
      </c>
      <c r="Q313" s="24" t="s">
        <v>30</v>
      </c>
      <c r="R313" s="24" t="s">
        <v>48</v>
      </c>
      <c r="S313" s="24" t="s">
        <v>805</v>
      </c>
      <c r="V313" s="24" t="s">
        <v>810</v>
      </c>
      <c r="AB313" s="24" t="s">
        <v>65</v>
      </c>
      <c r="AC313" s="43">
        <v>0</v>
      </c>
      <c r="AD313" s="43">
        <v>25</v>
      </c>
      <c r="AE313" s="44" t="s">
        <v>1028</v>
      </c>
    </row>
    <row r="314" spans="1:31" s="24" customFormat="1" ht="15" customHeight="1">
      <c r="A314" s="24" t="s">
        <v>808</v>
      </c>
      <c r="C314" s="24">
        <v>311360</v>
      </c>
      <c r="D314" s="1" t="s">
        <v>79</v>
      </c>
      <c r="E314" s="24">
        <v>0.51</v>
      </c>
      <c r="F314" s="24">
        <v>2.6</v>
      </c>
      <c r="G314" s="9">
        <v>54.655755499999998</v>
      </c>
      <c r="H314" s="9">
        <v>-163.96920259999999</v>
      </c>
      <c r="I314" s="1" t="s">
        <v>28</v>
      </c>
      <c r="J314" s="24" t="s">
        <v>187</v>
      </c>
      <c r="K314" s="24">
        <v>1261</v>
      </c>
      <c r="L314" s="24">
        <v>1064</v>
      </c>
      <c r="M314" s="1">
        <f t="shared" si="30"/>
        <v>1162.5</v>
      </c>
      <c r="N314" s="4">
        <f t="shared" si="27"/>
        <v>0.84377478191911182</v>
      </c>
      <c r="O314" s="4">
        <f t="shared" si="31"/>
        <v>0.40836651287224884</v>
      </c>
      <c r="P314" s="4">
        <f t="shared" si="32"/>
        <v>0.94805458776970086</v>
      </c>
      <c r="Q314" s="24" t="s">
        <v>30</v>
      </c>
      <c r="R314" s="24" t="s">
        <v>48</v>
      </c>
      <c r="S314" s="24" t="s">
        <v>805</v>
      </c>
      <c r="V314" s="24" t="s">
        <v>810</v>
      </c>
      <c r="AB314" s="24" t="s">
        <v>65</v>
      </c>
      <c r="AC314" s="43">
        <v>0</v>
      </c>
      <c r="AD314" s="43">
        <v>25</v>
      </c>
      <c r="AE314" s="44" t="s">
        <v>1028</v>
      </c>
    </row>
    <row r="315" spans="1:31" s="24" customFormat="1" ht="15" customHeight="1">
      <c r="A315" s="24" t="s">
        <v>811</v>
      </c>
      <c r="B315" s="24" t="s">
        <v>812</v>
      </c>
      <c r="C315" s="24">
        <v>373080</v>
      </c>
      <c r="D315" s="1" t="s">
        <v>79</v>
      </c>
      <c r="E315" s="24">
        <v>0.1</v>
      </c>
      <c r="F315" s="24">
        <v>1.48</v>
      </c>
      <c r="G315" s="9">
        <v>65.717379199999996</v>
      </c>
      <c r="H315" s="9">
        <v>-16.753575999999999</v>
      </c>
      <c r="I315" s="24" t="s">
        <v>80</v>
      </c>
      <c r="J315" s="24" t="s">
        <v>187</v>
      </c>
      <c r="K315" s="24">
        <v>450</v>
      </c>
      <c r="L315" s="24">
        <v>300</v>
      </c>
      <c r="M315" s="1">
        <f t="shared" si="30"/>
        <v>375</v>
      </c>
      <c r="N315" s="4">
        <f t="shared" si="27"/>
        <v>0.66666666666666663</v>
      </c>
      <c r="O315" s="4">
        <f t="shared" si="31"/>
        <v>0.62876026900501858</v>
      </c>
      <c r="P315" s="4">
        <f t="shared" si="32"/>
        <v>0.57370209159784391</v>
      </c>
      <c r="Q315" s="24" t="s">
        <v>30</v>
      </c>
      <c r="R315" s="24" t="s">
        <v>31</v>
      </c>
      <c r="S315" s="24" t="s">
        <v>813</v>
      </c>
      <c r="V315" s="9" t="s">
        <v>814</v>
      </c>
      <c r="Z315" s="24">
        <v>1724</v>
      </c>
      <c r="AB315" s="24" t="s">
        <v>65</v>
      </c>
      <c r="AC315" s="43">
        <v>384</v>
      </c>
      <c r="AD315" s="43">
        <v>25667</v>
      </c>
      <c r="AE315" s="44" t="s">
        <v>1062</v>
      </c>
    </row>
    <row r="316" spans="1:31" s="24" customFormat="1" ht="15" customHeight="1">
      <c r="A316" s="24" t="s">
        <v>815</v>
      </c>
      <c r="C316" s="24">
        <v>371060</v>
      </c>
      <c r="D316" s="1" t="s">
        <v>79</v>
      </c>
      <c r="E316" s="24">
        <v>0.03</v>
      </c>
      <c r="F316" s="24">
        <v>0.66</v>
      </c>
      <c r="G316" s="9">
        <v>64.040918599999998</v>
      </c>
      <c r="H316" s="9">
        <v>-20.8848132</v>
      </c>
      <c r="I316" s="24" t="s">
        <v>80</v>
      </c>
      <c r="J316" s="24" t="s">
        <v>187</v>
      </c>
      <c r="K316" s="24">
        <v>230</v>
      </c>
      <c r="L316" s="24">
        <v>190</v>
      </c>
      <c r="M316" s="1">
        <f t="shared" si="30"/>
        <v>210</v>
      </c>
      <c r="N316" s="4">
        <f t="shared" si="27"/>
        <v>0.82608695652173914</v>
      </c>
      <c r="O316" s="4">
        <f t="shared" si="31"/>
        <v>0.72206401402750242</v>
      </c>
      <c r="P316" s="4">
        <f t="shared" si="32"/>
        <v>0.8654525216500808</v>
      </c>
      <c r="Q316" s="24" t="s">
        <v>47</v>
      </c>
      <c r="R316" s="24" t="s">
        <v>65</v>
      </c>
      <c r="S316" s="24" t="s">
        <v>816</v>
      </c>
      <c r="V316" s="9" t="s">
        <v>814</v>
      </c>
      <c r="AB316" s="24" t="s">
        <v>65</v>
      </c>
      <c r="AC316" s="43">
        <v>6253</v>
      </c>
      <c r="AD316" s="43">
        <v>197798</v>
      </c>
      <c r="AE316" s="44" t="s">
        <v>1033</v>
      </c>
    </row>
    <row r="317" spans="1:31" s="24" customFormat="1" ht="15" customHeight="1">
      <c r="A317" s="24" t="s">
        <v>817</v>
      </c>
      <c r="C317" s="24">
        <v>371030</v>
      </c>
      <c r="D317" s="1" t="s">
        <v>79</v>
      </c>
      <c r="E317" s="24">
        <v>0.08</v>
      </c>
      <c r="F317" s="24">
        <v>1.23</v>
      </c>
      <c r="G317" s="9">
        <v>63.883609300000003</v>
      </c>
      <c r="H317" s="9">
        <v>-22.064715</v>
      </c>
      <c r="I317" s="24" t="s">
        <v>80</v>
      </c>
      <c r="J317" s="24" t="s">
        <v>187</v>
      </c>
      <c r="K317" s="24">
        <v>430</v>
      </c>
      <c r="L317" s="24">
        <v>240</v>
      </c>
      <c r="M317" s="1">
        <f t="shared" si="30"/>
        <v>335</v>
      </c>
      <c r="N317" s="4">
        <f t="shared" si="27"/>
        <v>0.55813953488372092</v>
      </c>
      <c r="O317" s="4">
        <f t="shared" si="31"/>
        <v>0.55088785061553824</v>
      </c>
      <c r="P317" s="4">
        <f t="shared" si="32"/>
        <v>0.66449180325780544</v>
      </c>
      <c r="Q317" s="24" t="s">
        <v>30</v>
      </c>
      <c r="R317" s="24" t="s">
        <v>31</v>
      </c>
      <c r="S317" s="9" t="s">
        <v>819</v>
      </c>
      <c r="V317" s="9" t="s">
        <v>814</v>
      </c>
      <c r="W317" s="24">
        <v>183</v>
      </c>
      <c r="AB317" s="24" t="s">
        <v>65</v>
      </c>
      <c r="AC317" s="43">
        <v>29070</v>
      </c>
      <c r="AD317" s="43">
        <v>195915</v>
      </c>
      <c r="AE317" s="44" t="s">
        <v>1034</v>
      </c>
    </row>
    <row r="318" spans="1:31" s="24" customFormat="1" ht="15" customHeight="1">
      <c r="A318" s="40" t="s">
        <v>818</v>
      </c>
      <c r="C318" s="24">
        <v>371030</v>
      </c>
      <c r="D318" s="1" t="s">
        <v>79</v>
      </c>
      <c r="E318" s="24">
        <v>0.09</v>
      </c>
      <c r="F318" s="24">
        <v>1.51</v>
      </c>
      <c r="G318" s="9">
        <v>63.884407099999997</v>
      </c>
      <c r="H318" s="9">
        <v>-22.054558199999999</v>
      </c>
      <c r="I318" s="24" t="s">
        <v>80</v>
      </c>
      <c r="J318" s="24" t="s">
        <v>187</v>
      </c>
      <c r="K318" s="24">
        <v>390</v>
      </c>
      <c r="L318" s="24">
        <v>270</v>
      </c>
      <c r="M318" s="1">
        <f t="shared" si="30"/>
        <v>330</v>
      </c>
      <c r="N318" s="4">
        <f t="shared" si="27"/>
        <v>0.69230769230769229</v>
      </c>
      <c r="O318" s="4">
        <f t="shared" si="31"/>
        <v>0.75339618031666422</v>
      </c>
      <c r="P318" s="4">
        <f t="shared" si="32"/>
        <v>0.49601919007601664</v>
      </c>
      <c r="Q318" s="24" t="s">
        <v>30</v>
      </c>
      <c r="R318" s="24" t="s">
        <v>31</v>
      </c>
      <c r="S318" s="9" t="s">
        <v>819</v>
      </c>
      <c r="V318" s="9" t="s">
        <v>814</v>
      </c>
      <c r="W318" s="24">
        <v>180</v>
      </c>
      <c r="AB318" s="24" t="s">
        <v>65</v>
      </c>
      <c r="AC318" s="43">
        <v>29070</v>
      </c>
      <c r="AD318" s="43">
        <v>195915</v>
      </c>
      <c r="AE318" s="44" t="s">
        <v>1033</v>
      </c>
    </row>
    <row r="319" spans="1:31" s="24" customFormat="1" ht="15" customHeight="1">
      <c r="A319" s="9" t="s">
        <v>821</v>
      </c>
      <c r="C319" s="24">
        <v>210020</v>
      </c>
      <c r="D319" s="1" t="s">
        <v>27</v>
      </c>
      <c r="E319" s="24">
        <v>2.3199999999999998</v>
      </c>
      <c r="F319" s="24">
        <v>5.5</v>
      </c>
      <c r="G319" s="9">
        <v>44.837350100000002</v>
      </c>
      <c r="H319" s="9">
        <v>3.8221737999999998</v>
      </c>
      <c r="I319" s="24" t="s">
        <v>514</v>
      </c>
      <c r="J319" s="24" t="s">
        <v>329</v>
      </c>
      <c r="K319" s="24">
        <v>1771</v>
      </c>
      <c r="L319" s="24">
        <v>1754</v>
      </c>
      <c r="M319" s="1">
        <f t="shared" si="30"/>
        <v>1762.5</v>
      </c>
      <c r="N319" s="4">
        <f t="shared" si="27"/>
        <v>0.9904009034443817</v>
      </c>
      <c r="O319" s="4">
        <f t="shared" si="31"/>
        <v>0.94180497697408561</v>
      </c>
      <c r="P319" s="4">
        <f t="shared" si="32"/>
        <v>0.96376792810952983</v>
      </c>
      <c r="Q319" s="24" t="s">
        <v>47</v>
      </c>
      <c r="R319" s="24" t="s">
        <v>48</v>
      </c>
      <c r="S319" s="22" t="s">
        <v>515</v>
      </c>
      <c r="V319" s="9" t="s">
        <v>772</v>
      </c>
      <c r="AB319" s="24" t="s">
        <v>65</v>
      </c>
      <c r="AC319" s="43">
        <v>323392</v>
      </c>
      <c r="AD319" s="43">
        <v>1577243</v>
      </c>
      <c r="AE319" s="44" t="s">
        <v>929</v>
      </c>
    </row>
    <row r="320" spans="1:31" s="24" customFormat="1" ht="15" customHeight="1">
      <c r="A320" s="40" t="s">
        <v>1068</v>
      </c>
      <c r="B320" s="58" t="s">
        <v>1069</v>
      </c>
      <c r="C320" s="59">
        <v>210010</v>
      </c>
      <c r="D320" s="1" t="s">
        <v>27</v>
      </c>
      <c r="E320" s="24">
        <v>1.29</v>
      </c>
      <c r="F320" s="24">
        <v>4.1500000000000004</v>
      </c>
      <c r="G320" s="9">
        <v>50.262846500000002</v>
      </c>
      <c r="H320" s="9">
        <v>6.9501822000000004</v>
      </c>
      <c r="I320" s="24" t="s">
        <v>415</v>
      </c>
      <c r="J320" s="24" t="s">
        <v>329</v>
      </c>
      <c r="K320" s="24">
        <v>1401</v>
      </c>
      <c r="L320" s="24">
        <v>1201</v>
      </c>
      <c r="M320" s="1">
        <f t="shared" si="30"/>
        <v>1301</v>
      </c>
      <c r="N320" s="4">
        <f t="shared" ref="N320:N383" si="33">L320/K320</f>
        <v>0.85724482512491074</v>
      </c>
      <c r="O320" s="4">
        <f t="shared" si="31"/>
        <v>0.83680363557403936</v>
      </c>
      <c r="P320" s="4">
        <f t="shared" si="32"/>
        <v>0.94124651429951112</v>
      </c>
      <c r="Q320" s="24" t="s">
        <v>30</v>
      </c>
      <c r="R320" s="24" t="s">
        <v>48</v>
      </c>
      <c r="S320" s="14" t="s">
        <v>416</v>
      </c>
      <c r="V320" s="9" t="s">
        <v>772</v>
      </c>
      <c r="AB320" s="24" t="s">
        <v>65</v>
      </c>
      <c r="AC320" s="43">
        <v>94991</v>
      </c>
      <c r="AD320" s="43">
        <v>7945412</v>
      </c>
      <c r="AE320" s="44" t="s">
        <v>930</v>
      </c>
    </row>
    <row r="321" spans="1:31">
      <c r="A321" s="24" t="s">
        <v>823</v>
      </c>
      <c r="C321" s="9">
        <v>222021</v>
      </c>
      <c r="D321" s="9" t="s">
        <v>27</v>
      </c>
      <c r="E321" s="1">
        <v>2.88</v>
      </c>
      <c r="F321" s="1">
        <v>6.26</v>
      </c>
      <c r="G321" s="9">
        <v>2.5482890999999999</v>
      </c>
      <c r="H321" s="9">
        <v>38.163052299999997</v>
      </c>
      <c r="I321" s="1" t="s">
        <v>770</v>
      </c>
      <c r="J321" s="1" t="s">
        <v>29</v>
      </c>
      <c r="K321" s="1">
        <v>2108</v>
      </c>
      <c r="L321" s="1">
        <v>1776</v>
      </c>
      <c r="M321" s="1">
        <f t="shared" si="30"/>
        <v>1942</v>
      </c>
      <c r="N321" s="4">
        <f t="shared" si="33"/>
        <v>0.8425047438330171</v>
      </c>
      <c r="O321" s="4">
        <f t="shared" si="31"/>
        <v>0.82520413083375976</v>
      </c>
      <c r="P321" s="4">
        <f t="shared" si="32"/>
        <v>0.92353569418271131</v>
      </c>
      <c r="Q321" s="24" t="s">
        <v>30</v>
      </c>
      <c r="R321" s="1" t="s">
        <v>48</v>
      </c>
      <c r="S321" s="1" t="s">
        <v>771</v>
      </c>
      <c r="V321" s="24" t="s">
        <v>772</v>
      </c>
      <c r="AB321" s="24" t="s">
        <v>65</v>
      </c>
      <c r="AC321" s="43">
        <v>16804</v>
      </c>
      <c r="AD321" s="43">
        <v>111322</v>
      </c>
      <c r="AE321" s="44" t="s">
        <v>1172</v>
      </c>
    </row>
    <row r="322" spans="1:31">
      <c r="A322" s="24" t="s">
        <v>824</v>
      </c>
      <c r="C322" s="9">
        <v>222021</v>
      </c>
      <c r="D322" s="9" t="s">
        <v>27</v>
      </c>
      <c r="E322" s="1">
        <v>2.56</v>
      </c>
      <c r="F322" s="1">
        <v>5.8</v>
      </c>
      <c r="G322" s="9">
        <v>2.5124721999999999</v>
      </c>
      <c r="H322" s="9">
        <v>38.136884799999997</v>
      </c>
      <c r="I322" s="1" t="s">
        <v>770</v>
      </c>
      <c r="J322" s="1" t="s">
        <v>29</v>
      </c>
      <c r="K322" s="1">
        <v>1860</v>
      </c>
      <c r="L322" s="1">
        <v>1660</v>
      </c>
      <c r="M322" s="1">
        <f t="shared" si="30"/>
        <v>1760</v>
      </c>
      <c r="N322" s="4">
        <f t="shared" si="33"/>
        <v>0.89247311827956988</v>
      </c>
      <c r="O322" s="4">
        <f t="shared" si="31"/>
        <v>0.94215898789513697</v>
      </c>
      <c r="P322" s="4">
        <f t="shared" si="32"/>
        <v>0.95629930953506193</v>
      </c>
      <c r="Q322" s="24" t="s">
        <v>30</v>
      </c>
      <c r="R322" s="1" t="s">
        <v>48</v>
      </c>
      <c r="S322" s="1" t="s">
        <v>771</v>
      </c>
      <c r="V322" s="24" t="s">
        <v>772</v>
      </c>
      <c r="AB322" s="24" t="s">
        <v>65</v>
      </c>
      <c r="AC322" s="43">
        <v>16804</v>
      </c>
      <c r="AD322" s="43">
        <v>111322</v>
      </c>
      <c r="AE322" s="44" t="s">
        <v>1172</v>
      </c>
    </row>
    <row r="323" spans="1:31">
      <c r="A323" s="24" t="s">
        <v>825</v>
      </c>
      <c r="C323" s="9">
        <v>222021</v>
      </c>
      <c r="D323" s="9" t="s">
        <v>27</v>
      </c>
      <c r="E323" s="1">
        <v>1.25</v>
      </c>
      <c r="F323" s="1">
        <v>4.0199999999999996</v>
      </c>
      <c r="G323" s="9">
        <v>2.5124721999999999</v>
      </c>
      <c r="H323" s="9">
        <v>38.136884799999997</v>
      </c>
      <c r="I323" s="1" t="s">
        <v>770</v>
      </c>
      <c r="J323" s="1" t="s">
        <v>29</v>
      </c>
      <c r="K323" s="1">
        <v>1376</v>
      </c>
      <c r="L323" s="1">
        <v>1144</v>
      </c>
      <c r="M323" s="1">
        <f t="shared" si="30"/>
        <v>1260</v>
      </c>
      <c r="N323" s="4">
        <f t="shared" si="33"/>
        <v>0.83139534883720934</v>
      </c>
      <c r="O323" s="4">
        <f t="shared" si="31"/>
        <v>0.84058815096365092</v>
      </c>
      <c r="P323" s="4">
        <f t="shared" si="32"/>
        <v>0.97200337045796925</v>
      </c>
      <c r="Q323" s="24" t="s">
        <v>30</v>
      </c>
      <c r="R323" s="1" t="s">
        <v>48</v>
      </c>
      <c r="S323" s="1" t="s">
        <v>771</v>
      </c>
      <c r="V323" s="24" t="s">
        <v>772</v>
      </c>
      <c r="AB323" s="24" t="s">
        <v>65</v>
      </c>
      <c r="AC323" s="43">
        <v>16804</v>
      </c>
      <c r="AD323" s="43">
        <v>111322</v>
      </c>
      <c r="AE323" s="44" t="s">
        <v>1172</v>
      </c>
    </row>
    <row r="324" spans="1:31">
      <c r="A324" s="24" t="s">
        <v>826</v>
      </c>
      <c r="C324" s="1">
        <v>222021</v>
      </c>
      <c r="D324" s="1" t="s">
        <v>27</v>
      </c>
      <c r="E324" s="1">
        <v>1.34</v>
      </c>
      <c r="F324" s="1">
        <v>4.17</v>
      </c>
      <c r="G324" s="9">
        <v>2.3103391000000002</v>
      </c>
      <c r="H324" s="9">
        <v>37.8975182</v>
      </c>
      <c r="I324" s="1" t="s">
        <v>770</v>
      </c>
      <c r="J324" s="1" t="s">
        <v>29</v>
      </c>
      <c r="K324" s="1">
        <v>1398</v>
      </c>
      <c r="L324" s="1">
        <v>1254</v>
      </c>
      <c r="M324" s="14">
        <f t="shared" si="30"/>
        <v>1326</v>
      </c>
      <c r="N324" s="4">
        <f t="shared" si="33"/>
        <v>0.89699570815450647</v>
      </c>
      <c r="O324" s="4">
        <f t="shared" ref="O324:O355" si="34">E324/(PI()*((K324/2000)^2))</f>
        <v>0.87297252254145941</v>
      </c>
      <c r="P324" s="4">
        <f t="shared" ref="P324:P355" si="35">E324/(((F324/(2*PI()))^2)*PI())</f>
        <v>0.96837273336676222</v>
      </c>
      <c r="Q324" s="1" t="s">
        <v>30</v>
      </c>
      <c r="R324" s="1" t="s">
        <v>48</v>
      </c>
      <c r="S324" s="1" t="s">
        <v>771</v>
      </c>
      <c r="V324" s="1" t="s">
        <v>772</v>
      </c>
      <c r="AB324" s="24" t="s">
        <v>65</v>
      </c>
      <c r="AC324" s="15">
        <v>16804</v>
      </c>
      <c r="AD324" s="15">
        <v>111322</v>
      </c>
      <c r="AE324" s="44" t="s">
        <v>1172</v>
      </c>
    </row>
    <row r="325" spans="1:31" s="24" customFormat="1" ht="15" customHeight="1">
      <c r="A325" s="40" t="s">
        <v>829</v>
      </c>
      <c r="C325" s="24">
        <v>231060</v>
      </c>
      <c r="D325" s="1" t="s">
        <v>27</v>
      </c>
      <c r="E325" s="24">
        <v>1.58</v>
      </c>
      <c r="F325" s="24">
        <v>4.55</v>
      </c>
      <c r="G325" s="9">
        <v>25.588631700000001</v>
      </c>
      <c r="H325" s="9">
        <v>39.954405199999997</v>
      </c>
      <c r="I325" s="24" t="s">
        <v>267</v>
      </c>
      <c r="J325" s="24" t="s">
        <v>29</v>
      </c>
      <c r="K325" s="24">
        <v>1553</v>
      </c>
      <c r="L325" s="24">
        <v>1376</v>
      </c>
      <c r="M325" s="1">
        <f t="shared" si="30"/>
        <v>1464.5</v>
      </c>
      <c r="N325" s="4">
        <f t="shared" si="33"/>
        <v>0.88602704443013525</v>
      </c>
      <c r="O325" s="4">
        <f t="shared" si="34"/>
        <v>0.83411185574046598</v>
      </c>
      <c r="P325" s="4">
        <f t="shared" si="35"/>
        <v>0.95905642172141037</v>
      </c>
      <c r="Q325" s="24" t="s">
        <v>30</v>
      </c>
      <c r="R325" s="24" t="s">
        <v>48</v>
      </c>
      <c r="S325" s="9" t="s">
        <v>827</v>
      </c>
      <c r="V325" s="9" t="s">
        <v>828</v>
      </c>
      <c r="AB325" s="24" t="s">
        <v>65</v>
      </c>
      <c r="AC325" s="43">
        <v>13619</v>
      </c>
      <c r="AD325" s="43">
        <v>1415732</v>
      </c>
      <c r="AE325" s="18" t="s">
        <v>1017</v>
      </c>
    </row>
    <row r="326" spans="1:31" s="24" customFormat="1" ht="15" customHeight="1">
      <c r="A326" s="40" t="s">
        <v>830</v>
      </c>
      <c r="C326" s="24">
        <v>231060</v>
      </c>
      <c r="D326" s="1" t="s">
        <v>27</v>
      </c>
      <c r="E326" s="24">
        <v>0.77</v>
      </c>
      <c r="F326" s="24">
        <v>3.25</v>
      </c>
      <c r="G326" s="9">
        <v>25.639269299999999</v>
      </c>
      <c r="H326" s="9">
        <v>39.937048400000002</v>
      </c>
      <c r="I326" s="24" t="s">
        <v>267</v>
      </c>
      <c r="J326" s="24" t="s">
        <v>29</v>
      </c>
      <c r="K326" s="24">
        <v>1087</v>
      </c>
      <c r="L326" s="24">
        <v>952</v>
      </c>
      <c r="M326" s="1">
        <f t="shared" si="30"/>
        <v>1019.5</v>
      </c>
      <c r="N326" s="4">
        <f t="shared" si="33"/>
        <v>0.87580496780128791</v>
      </c>
      <c r="O326" s="4">
        <f t="shared" si="34"/>
        <v>0.82973948152505306</v>
      </c>
      <c r="P326" s="4">
        <f t="shared" si="35"/>
        <v>0.91608098206452682</v>
      </c>
      <c r="Q326" s="24" t="s">
        <v>30</v>
      </c>
      <c r="R326" s="24" t="s">
        <v>48</v>
      </c>
      <c r="S326" s="9" t="s">
        <v>827</v>
      </c>
      <c r="V326" s="9" t="s">
        <v>828</v>
      </c>
      <c r="AB326" s="24" t="s">
        <v>65</v>
      </c>
      <c r="AC326" s="43">
        <v>13619</v>
      </c>
      <c r="AD326" s="43">
        <v>1415732</v>
      </c>
      <c r="AE326" s="18" t="s">
        <v>1017</v>
      </c>
    </row>
    <row r="327" spans="1:31" s="24" customFormat="1" ht="15" customHeight="1">
      <c r="A327" s="40" t="s">
        <v>831</v>
      </c>
      <c r="C327" s="24">
        <v>231060</v>
      </c>
      <c r="D327" s="1" t="s">
        <v>27</v>
      </c>
      <c r="E327" s="24">
        <v>1.99</v>
      </c>
      <c r="F327" s="24">
        <v>5.25</v>
      </c>
      <c r="G327" s="9">
        <v>25.640330299999999</v>
      </c>
      <c r="H327" s="9">
        <v>39.949235999999999</v>
      </c>
      <c r="I327" s="24" t="s">
        <v>267</v>
      </c>
      <c r="J327" s="24" t="s">
        <v>29</v>
      </c>
      <c r="K327" s="24">
        <v>1755</v>
      </c>
      <c r="L327" s="24">
        <v>1418</v>
      </c>
      <c r="M327" s="1">
        <f t="shared" si="30"/>
        <v>1586.5</v>
      </c>
      <c r="N327" s="4">
        <f t="shared" si="33"/>
        <v>0.80797720797720796</v>
      </c>
      <c r="O327" s="4">
        <f t="shared" si="34"/>
        <v>0.82263835326757873</v>
      </c>
      <c r="P327" s="4">
        <f t="shared" si="35"/>
        <v>0.90728625932244</v>
      </c>
      <c r="Q327" s="24" t="s">
        <v>30</v>
      </c>
      <c r="R327" s="24" t="s">
        <v>48</v>
      </c>
      <c r="S327" s="9" t="s">
        <v>827</v>
      </c>
      <c r="V327" s="9" t="s">
        <v>828</v>
      </c>
      <c r="AB327" s="24" t="s">
        <v>65</v>
      </c>
      <c r="AC327" s="43">
        <v>13619</v>
      </c>
      <c r="AD327" s="43">
        <v>1415732</v>
      </c>
      <c r="AE327" s="18" t="s">
        <v>1017</v>
      </c>
    </row>
    <row r="328" spans="1:31" s="24" customFormat="1" ht="15" customHeight="1">
      <c r="A328" s="40" t="s">
        <v>832</v>
      </c>
      <c r="C328" s="24">
        <v>231060</v>
      </c>
      <c r="D328" s="1" t="s">
        <v>27</v>
      </c>
      <c r="E328" s="24">
        <v>0.41</v>
      </c>
      <c r="F328" s="24">
        <v>2.4</v>
      </c>
      <c r="G328" s="9">
        <v>25.517039100000002</v>
      </c>
      <c r="H328" s="9">
        <v>39.977012000000002</v>
      </c>
      <c r="I328" s="24" t="s">
        <v>267</v>
      </c>
      <c r="J328" s="24" t="s">
        <v>29</v>
      </c>
      <c r="K328" s="24">
        <v>863</v>
      </c>
      <c r="L328" s="24">
        <v>554</v>
      </c>
      <c r="M328" s="1">
        <f t="shared" si="30"/>
        <v>708.5</v>
      </c>
      <c r="N328" s="4">
        <f t="shared" si="33"/>
        <v>0.64194669756662803</v>
      </c>
      <c r="O328" s="4">
        <f t="shared" si="34"/>
        <v>0.7009263454056448</v>
      </c>
      <c r="P328" s="4">
        <f t="shared" si="35"/>
        <v>0.89448124164709386</v>
      </c>
      <c r="Q328" s="24" t="s">
        <v>30</v>
      </c>
      <c r="R328" s="24" t="s">
        <v>48</v>
      </c>
      <c r="S328" s="9" t="s">
        <v>827</v>
      </c>
      <c r="V328" s="9" t="s">
        <v>828</v>
      </c>
      <c r="AB328" s="24" t="s">
        <v>65</v>
      </c>
      <c r="AC328" s="43">
        <v>13619</v>
      </c>
      <c r="AD328" s="43">
        <v>1415732</v>
      </c>
      <c r="AE328" s="18" t="s">
        <v>1017</v>
      </c>
    </row>
    <row r="329" spans="1:31" s="24" customFormat="1" ht="15" customHeight="1">
      <c r="A329" s="40" t="s">
        <v>833</v>
      </c>
      <c r="C329" s="24">
        <v>231060</v>
      </c>
      <c r="D329" s="1" t="s">
        <v>27</v>
      </c>
      <c r="E329" s="24">
        <v>0.15</v>
      </c>
      <c r="F329" s="24">
        <v>1.52</v>
      </c>
      <c r="G329" s="9">
        <v>25.4935732</v>
      </c>
      <c r="H329" s="9">
        <v>40.018850200000003</v>
      </c>
      <c r="I329" s="24" t="s">
        <v>267</v>
      </c>
      <c r="J329" s="24" t="s">
        <v>29</v>
      </c>
      <c r="K329" s="24">
        <v>462</v>
      </c>
      <c r="L329" s="24">
        <v>310</v>
      </c>
      <c r="M329" s="1">
        <f t="shared" si="30"/>
        <v>386</v>
      </c>
      <c r="N329" s="4">
        <f t="shared" si="33"/>
        <v>0.67099567099567103</v>
      </c>
      <c r="O329" s="4">
        <f t="shared" si="34"/>
        <v>0.8947823865288993</v>
      </c>
      <c r="P329" s="4">
        <f t="shared" si="35"/>
        <v>0.81585681793363729</v>
      </c>
      <c r="Q329" s="24" t="s">
        <v>30</v>
      </c>
      <c r="R329" s="24" t="s">
        <v>48</v>
      </c>
      <c r="S329" s="9" t="s">
        <v>827</v>
      </c>
      <c r="V329" s="9" t="s">
        <v>828</v>
      </c>
      <c r="AB329" s="24" t="s">
        <v>65</v>
      </c>
      <c r="AC329" s="43">
        <v>13619</v>
      </c>
      <c r="AD329" s="43">
        <v>1415732</v>
      </c>
      <c r="AE329" s="18" t="s">
        <v>1017</v>
      </c>
    </row>
    <row r="330" spans="1:31" s="24" customFormat="1" ht="14.25" customHeight="1">
      <c r="A330" s="40" t="s">
        <v>834</v>
      </c>
      <c r="C330" s="24">
        <v>231060</v>
      </c>
      <c r="D330" s="1" t="s">
        <v>27</v>
      </c>
      <c r="E330" s="24">
        <v>0.18</v>
      </c>
      <c r="F330" s="24">
        <v>1.54</v>
      </c>
      <c r="G330" s="9">
        <v>25.539182700000001</v>
      </c>
      <c r="H330" s="9">
        <v>40.013820799999998</v>
      </c>
      <c r="I330" s="24" t="s">
        <v>267</v>
      </c>
      <c r="J330" s="24" t="s">
        <v>29</v>
      </c>
      <c r="K330" s="24">
        <v>499</v>
      </c>
      <c r="L330" s="24">
        <v>488</v>
      </c>
      <c r="M330" s="1">
        <f t="shared" si="30"/>
        <v>493.5</v>
      </c>
      <c r="N330" s="4">
        <f t="shared" si="33"/>
        <v>0.97795591182364727</v>
      </c>
      <c r="O330" s="4">
        <f t="shared" si="34"/>
        <v>0.92041043229677511</v>
      </c>
      <c r="P330" s="4">
        <f t="shared" si="35"/>
        <v>0.95376400345110923</v>
      </c>
      <c r="Q330" s="24" t="s">
        <v>30</v>
      </c>
      <c r="R330" s="24" t="s">
        <v>48</v>
      </c>
      <c r="S330" s="9" t="s">
        <v>827</v>
      </c>
      <c r="V330" s="9" t="s">
        <v>828</v>
      </c>
      <c r="AB330" s="24" t="s">
        <v>65</v>
      </c>
      <c r="AC330" s="43">
        <v>13619</v>
      </c>
      <c r="AD330" s="43">
        <v>1415732</v>
      </c>
      <c r="AE330" s="18" t="s">
        <v>1017</v>
      </c>
    </row>
    <row r="331" spans="1:31" s="24" customFormat="1" ht="14.25" customHeight="1">
      <c r="A331" s="40" t="s">
        <v>855</v>
      </c>
      <c r="C331" s="24">
        <v>231060</v>
      </c>
      <c r="D331" s="1" t="s">
        <v>27</v>
      </c>
      <c r="E331" s="24">
        <v>0.16</v>
      </c>
      <c r="F331" s="24">
        <v>1.43</v>
      </c>
      <c r="G331" s="9">
        <v>25.719785699999999</v>
      </c>
      <c r="H331" s="9">
        <v>39.9731132</v>
      </c>
      <c r="I331" s="24" t="s">
        <v>267</v>
      </c>
      <c r="J331" s="24" t="s">
        <v>29</v>
      </c>
      <c r="K331" s="24">
        <v>476</v>
      </c>
      <c r="L331" s="24">
        <v>421</v>
      </c>
      <c r="M331" s="1">
        <f t="shared" si="30"/>
        <v>448.5</v>
      </c>
      <c r="N331" s="4">
        <f t="shared" si="33"/>
        <v>0.88445378151260501</v>
      </c>
      <c r="O331" s="4">
        <f t="shared" si="34"/>
        <v>0.89911697248440292</v>
      </c>
      <c r="P331" s="4">
        <f t="shared" si="35"/>
        <v>0.98323600092790253</v>
      </c>
      <c r="Q331" s="24" t="s">
        <v>30</v>
      </c>
      <c r="R331" s="24" t="s">
        <v>48</v>
      </c>
      <c r="S331" s="9" t="s">
        <v>827</v>
      </c>
      <c r="V331" s="9" t="s">
        <v>828</v>
      </c>
      <c r="AB331" s="24" t="s">
        <v>65</v>
      </c>
      <c r="AC331" s="43">
        <v>13619</v>
      </c>
      <c r="AD331" s="43">
        <v>1415732</v>
      </c>
      <c r="AE331" s="18" t="s">
        <v>1017</v>
      </c>
    </row>
    <row r="332" spans="1:31" s="24" customFormat="1" ht="14.25" customHeight="1">
      <c r="A332" s="40" t="s">
        <v>861</v>
      </c>
      <c r="C332" s="24">
        <v>231060</v>
      </c>
      <c r="D332" s="1" t="s">
        <v>27</v>
      </c>
      <c r="E332" s="24">
        <v>0.13500000000000001</v>
      </c>
      <c r="F332" s="24">
        <v>1.32</v>
      </c>
      <c r="G332" s="9">
        <v>25.7725872</v>
      </c>
      <c r="H332" s="9">
        <v>39.932304000000002</v>
      </c>
      <c r="I332" s="24" t="s">
        <v>267</v>
      </c>
      <c r="J332" s="24" t="s">
        <v>29</v>
      </c>
      <c r="K332" s="24">
        <v>455</v>
      </c>
      <c r="L332" s="24">
        <v>418</v>
      </c>
      <c r="M332" s="1">
        <f t="shared" si="30"/>
        <v>436.5</v>
      </c>
      <c r="N332" s="4">
        <f t="shared" si="33"/>
        <v>0.91868131868131864</v>
      </c>
      <c r="O332" s="4">
        <f t="shared" si="34"/>
        <v>0.83027334157346677</v>
      </c>
      <c r="P332" s="4">
        <f t="shared" si="35"/>
        <v>0.97363408685634101</v>
      </c>
      <c r="Q332" s="24" t="s">
        <v>30</v>
      </c>
      <c r="R332" s="24" t="s">
        <v>48</v>
      </c>
      <c r="S332" s="9" t="s">
        <v>827</v>
      </c>
      <c r="V332" s="9" t="s">
        <v>828</v>
      </c>
      <c r="AB332" s="24" t="s">
        <v>65</v>
      </c>
      <c r="AC332" s="43">
        <v>13619</v>
      </c>
      <c r="AD332" s="43">
        <v>1415732</v>
      </c>
      <c r="AE332" s="18" t="s">
        <v>1017</v>
      </c>
    </row>
    <row r="333" spans="1:31" s="24" customFormat="1" ht="15" customHeight="1">
      <c r="A333" s="9" t="s">
        <v>835</v>
      </c>
      <c r="C333" s="24">
        <v>259010</v>
      </c>
      <c r="D333" s="1" t="s">
        <v>27</v>
      </c>
      <c r="E333" s="24">
        <v>0.2</v>
      </c>
      <c r="F333" s="24">
        <v>1.62</v>
      </c>
      <c r="G333" s="9">
        <v>-38.178063799999997</v>
      </c>
      <c r="H333" s="9">
        <v>142.9335682</v>
      </c>
      <c r="I333" s="24" t="s">
        <v>360</v>
      </c>
      <c r="J333" s="24" t="s">
        <v>29</v>
      </c>
      <c r="K333" s="24">
        <v>530</v>
      </c>
      <c r="L333" s="24">
        <v>496</v>
      </c>
      <c r="M333" s="1">
        <f t="shared" ref="M333:M396" si="36">AVERAGE(K333:L333)</f>
        <v>513</v>
      </c>
      <c r="N333" s="4">
        <f t="shared" si="33"/>
        <v>0.9358490566037736</v>
      </c>
      <c r="O333" s="4">
        <f t="shared" si="34"/>
        <v>0.90654292967971706</v>
      </c>
      <c r="P333" s="4">
        <f t="shared" si="35"/>
        <v>0.95765665404352762</v>
      </c>
      <c r="Q333" s="24" t="s">
        <v>30</v>
      </c>
      <c r="R333" s="24" t="s">
        <v>48</v>
      </c>
      <c r="S333" s="9" t="s">
        <v>361</v>
      </c>
      <c r="V333" s="9" t="s">
        <v>828</v>
      </c>
      <c r="AB333" s="24" t="s">
        <v>65</v>
      </c>
      <c r="AC333" s="43">
        <v>610361</v>
      </c>
      <c r="AD333" s="43">
        <v>610361</v>
      </c>
      <c r="AE333" s="44" t="s">
        <v>362</v>
      </c>
    </row>
    <row r="334" spans="1:31" s="24" customFormat="1" ht="15" customHeight="1">
      <c r="A334" s="9" t="s">
        <v>836</v>
      </c>
      <c r="C334" s="24">
        <v>232020</v>
      </c>
      <c r="D334" s="1" t="s">
        <v>27</v>
      </c>
      <c r="E334" s="24">
        <v>5.5E-2</v>
      </c>
      <c r="F334" s="24">
        <v>0.84</v>
      </c>
      <c r="G334" s="9">
        <v>29.427112699999999</v>
      </c>
      <c r="H334" s="9">
        <v>57.541902800000003</v>
      </c>
      <c r="I334" s="24" t="s">
        <v>107</v>
      </c>
      <c r="J334" s="24" t="s">
        <v>29</v>
      </c>
      <c r="K334" s="24">
        <v>285</v>
      </c>
      <c r="L334" s="24">
        <v>245</v>
      </c>
      <c r="M334" s="1">
        <f t="shared" si="36"/>
        <v>265</v>
      </c>
      <c r="N334" s="4">
        <f t="shared" si="33"/>
        <v>0.85964912280701755</v>
      </c>
      <c r="O334" s="4">
        <f t="shared" si="34"/>
        <v>0.86215050736145216</v>
      </c>
      <c r="P334" s="4">
        <f t="shared" si="35"/>
        <v>0.9795215189764096</v>
      </c>
      <c r="Q334" s="24" t="s">
        <v>47</v>
      </c>
      <c r="R334" s="24" t="s">
        <v>48</v>
      </c>
      <c r="S334" s="9" t="s">
        <v>108</v>
      </c>
      <c r="V334" s="9" t="s">
        <v>828</v>
      </c>
      <c r="AB334" s="24" t="s">
        <v>65</v>
      </c>
      <c r="AC334" s="43">
        <v>5159</v>
      </c>
      <c r="AD334" s="43">
        <v>511150</v>
      </c>
      <c r="AE334" s="44" t="s">
        <v>112</v>
      </c>
    </row>
    <row r="335" spans="1:31" s="24" customFormat="1" ht="15" customHeight="1">
      <c r="A335" s="60" t="s">
        <v>837</v>
      </c>
      <c r="B335" s="24" t="s">
        <v>838</v>
      </c>
      <c r="C335" s="24">
        <v>273060</v>
      </c>
      <c r="D335" s="1" t="s">
        <v>27</v>
      </c>
      <c r="E335" s="24">
        <v>0.15</v>
      </c>
      <c r="F335" s="24">
        <v>1.41</v>
      </c>
      <c r="G335" s="9">
        <v>14.0992172</v>
      </c>
      <c r="H335" s="9">
        <v>121.2978727</v>
      </c>
      <c r="I335" s="24" t="s">
        <v>316</v>
      </c>
      <c r="J335" s="24" t="s">
        <v>329</v>
      </c>
      <c r="K335" s="24">
        <v>458</v>
      </c>
      <c r="L335" s="24">
        <v>443</v>
      </c>
      <c r="M335" s="1">
        <f t="shared" si="36"/>
        <v>450.5</v>
      </c>
      <c r="N335" s="4">
        <f t="shared" si="33"/>
        <v>0.96724890829694321</v>
      </c>
      <c r="O335" s="4">
        <f t="shared" si="34"/>
        <v>0.91048002378994675</v>
      </c>
      <c r="P335" s="4">
        <f t="shared" si="35"/>
        <v>0.94811910475020156</v>
      </c>
      <c r="Q335" s="24" t="s">
        <v>30</v>
      </c>
      <c r="R335" s="24" t="s">
        <v>48</v>
      </c>
      <c r="S335" s="9" t="s">
        <v>351</v>
      </c>
      <c r="V335" s="9" t="s">
        <v>1125</v>
      </c>
      <c r="AB335" s="24" t="s">
        <v>65</v>
      </c>
      <c r="AC335" s="43">
        <v>1349742</v>
      </c>
      <c r="AD335" s="43">
        <v>24626975</v>
      </c>
      <c r="AE335" s="18" t="s">
        <v>365</v>
      </c>
    </row>
    <row r="336" spans="1:31" s="24" customFormat="1" ht="15" customHeight="1">
      <c r="A336" s="40" t="s">
        <v>1003</v>
      </c>
      <c r="B336" s="24" t="s">
        <v>840</v>
      </c>
      <c r="C336" s="24">
        <v>273060</v>
      </c>
      <c r="D336" s="1" t="s">
        <v>27</v>
      </c>
      <c r="E336" s="24">
        <v>0.92</v>
      </c>
      <c r="F336" s="24">
        <v>3.7</v>
      </c>
      <c r="G336" s="9">
        <v>14.121243</v>
      </c>
      <c r="H336" s="9">
        <v>121.2660108</v>
      </c>
      <c r="I336" s="24" t="s">
        <v>316</v>
      </c>
      <c r="J336" s="24" t="s">
        <v>329</v>
      </c>
      <c r="K336" s="24">
        <v>1372</v>
      </c>
      <c r="L336" s="24">
        <v>830</v>
      </c>
      <c r="M336" s="1">
        <f t="shared" si="36"/>
        <v>1101</v>
      </c>
      <c r="N336" s="4">
        <f t="shared" si="33"/>
        <v>0.60495626822157433</v>
      </c>
      <c r="O336" s="4">
        <f t="shared" si="34"/>
        <v>0.62228555977757449</v>
      </c>
      <c r="P336" s="4">
        <f t="shared" si="35"/>
        <v>0.84448947883202596</v>
      </c>
      <c r="Q336" s="24" t="s">
        <v>30</v>
      </c>
      <c r="R336" s="24" t="s">
        <v>48</v>
      </c>
      <c r="S336" s="9" t="s">
        <v>351</v>
      </c>
      <c r="V336" s="9" t="s">
        <v>1125</v>
      </c>
      <c r="AB336" s="24" t="s">
        <v>48</v>
      </c>
      <c r="AC336" s="43">
        <v>1349742</v>
      </c>
      <c r="AD336" s="43">
        <v>24626975</v>
      </c>
      <c r="AE336" s="18" t="s">
        <v>365</v>
      </c>
    </row>
    <row r="337" spans="1:31" s="24" customFormat="1" ht="15" customHeight="1">
      <c r="A337" s="24" t="s">
        <v>842</v>
      </c>
      <c r="C337" s="24">
        <v>305050</v>
      </c>
      <c r="D337" s="1" t="s">
        <v>27</v>
      </c>
      <c r="E337" s="24">
        <v>1.45</v>
      </c>
      <c r="F337" s="24">
        <v>4.37</v>
      </c>
      <c r="G337" s="9">
        <v>42.3366452</v>
      </c>
      <c r="H337" s="9">
        <v>126.3938169</v>
      </c>
      <c r="I337" s="24" t="s">
        <v>504</v>
      </c>
      <c r="J337" s="24" t="s">
        <v>187</v>
      </c>
      <c r="K337" s="24">
        <v>1407</v>
      </c>
      <c r="L337" s="24">
        <v>1318</v>
      </c>
      <c r="M337" s="1">
        <f t="shared" si="36"/>
        <v>1362.5</v>
      </c>
      <c r="N337" s="4">
        <f t="shared" si="33"/>
        <v>0.93674484719260842</v>
      </c>
      <c r="O337" s="4">
        <f t="shared" si="34"/>
        <v>0.93258822137964148</v>
      </c>
      <c r="P337" s="4">
        <f t="shared" si="35"/>
        <v>0.95414634787954056</v>
      </c>
      <c r="Q337" s="24" t="s">
        <v>47</v>
      </c>
      <c r="R337" s="24" t="s">
        <v>48</v>
      </c>
      <c r="S337" s="9" t="s">
        <v>505</v>
      </c>
      <c r="V337" s="9" t="s">
        <v>841</v>
      </c>
      <c r="AB337" s="24" t="s">
        <v>65</v>
      </c>
      <c r="AC337" s="15">
        <v>34708</v>
      </c>
      <c r="AD337" s="15">
        <v>4407575</v>
      </c>
      <c r="AE337" s="44" t="s">
        <v>1170</v>
      </c>
    </row>
    <row r="338" spans="1:31" s="24" customFormat="1" ht="15.75" customHeight="1">
      <c r="A338" s="9" t="s">
        <v>843</v>
      </c>
      <c r="C338" s="24">
        <v>305050</v>
      </c>
      <c r="D338" s="1" t="s">
        <v>27</v>
      </c>
      <c r="E338" s="24">
        <v>1</v>
      </c>
      <c r="F338" s="24">
        <v>3.76</v>
      </c>
      <c r="G338" s="9">
        <v>42.302397599999999</v>
      </c>
      <c r="H338" s="9">
        <v>126.38315179999999</v>
      </c>
      <c r="I338" s="24" t="s">
        <v>504</v>
      </c>
      <c r="J338" s="24" t="s">
        <v>187</v>
      </c>
      <c r="K338" s="24">
        <v>1306</v>
      </c>
      <c r="L338" s="24">
        <v>1008</v>
      </c>
      <c r="M338" s="1">
        <f t="shared" si="36"/>
        <v>1157</v>
      </c>
      <c r="N338" s="4">
        <f t="shared" si="33"/>
        <v>0.77182235834609492</v>
      </c>
      <c r="O338" s="4">
        <f t="shared" si="34"/>
        <v>0.74648960548156962</v>
      </c>
      <c r="P338" s="4">
        <f t="shared" si="35"/>
        <v>0.88886166070331407</v>
      </c>
      <c r="Q338" s="24" t="s">
        <v>47</v>
      </c>
      <c r="R338" s="24" t="s">
        <v>48</v>
      </c>
      <c r="S338" s="9" t="s">
        <v>505</v>
      </c>
      <c r="V338" s="9" t="s">
        <v>841</v>
      </c>
      <c r="AB338" s="24" t="s">
        <v>65</v>
      </c>
      <c r="AC338" s="15">
        <v>34708</v>
      </c>
      <c r="AD338" s="15">
        <v>4407575</v>
      </c>
      <c r="AE338" s="44" t="s">
        <v>506</v>
      </c>
    </row>
    <row r="339" spans="1:31" s="24" customFormat="1" ht="15" customHeight="1">
      <c r="A339" s="40" t="s">
        <v>844</v>
      </c>
      <c r="B339" s="9" t="s">
        <v>845</v>
      </c>
      <c r="C339" s="24">
        <v>282090</v>
      </c>
      <c r="D339" s="1" t="s">
        <v>27</v>
      </c>
      <c r="E339" s="24">
        <v>0.97</v>
      </c>
      <c r="F339" s="24">
        <v>3.6</v>
      </c>
      <c r="G339" s="9">
        <v>31.8842514</v>
      </c>
      <c r="H339" s="9">
        <v>130.96992169999999</v>
      </c>
      <c r="I339" s="24" t="s">
        <v>248</v>
      </c>
      <c r="J339" s="24" t="s">
        <v>187</v>
      </c>
      <c r="K339" s="24">
        <v>1206</v>
      </c>
      <c r="L339" s="24">
        <v>1075</v>
      </c>
      <c r="M339" s="1">
        <f t="shared" si="36"/>
        <v>1140.5</v>
      </c>
      <c r="N339" s="4">
        <f t="shared" si="33"/>
        <v>0.89137645107794361</v>
      </c>
      <c r="O339" s="4">
        <f t="shared" si="34"/>
        <v>0.84915552034816788</v>
      </c>
      <c r="P339" s="4">
        <f t="shared" si="35"/>
        <v>0.94053854135249992</v>
      </c>
      <c r="Q339" s="24" t="s">
        <v>30</v>
      </c>
      <c r="R339" s="24" t="s">
        <v>65</v>
      </c>
      <c r="S339" s="9" t="s">
        <v>846</v>
      </c>
      <c r="V339" s="9" t="s">
        <v>839</v>
      </c>
      <c r="AB339" s="24" t="s">
        <v>65</v>
      </c>
      <c r="AC339" s="43">
        <v>647</v>
      </c>
      <c r="AD339" s="43">
        <v>3972044</v>
      </c>
      <c r="AE339" s="44" t="s">
        <v>43</v>
      </c>
    </row>
    <row r="340" spans="1:31" s="24" customFormat="1" ht="15" customHeight="1">
      <c r="A340" s="9" t="s">
        <v>716</v>
      </c>
      <c r="B340" s="24" t="s">
        <v>847</v>
      </c>
      <c r="C340" s="24">
        <v>213000</v>
      </c>
      <c r="D340" s="1" t="s">
        <v>27</v>
      </c>
      <c r="E340" s="24">
        <v>0.51</v>
      </c>
      <c r="F340" s="24">
        <v>2.57</v>
      </c>
      <c r="G340" s="9">
        <v>38.602093699999998</v>
      </c>
      <c r="H340" s="9">
        <v>28.546576900000002</v>
      </c>
      <c r="I340" s="24" t="s">
        <v>556</v>
      </c>
      <c r="J340" s="24" t="s">
        <v>329</v>
      </c>
      <c r="K340" s="24">
        <v>841</v>
      </c>
      <c r="L340" s="24">
        <v>798</v>
      </c>
      <c r="M340" s="1">
        <f t="shared" si="36"/>
        <v>819.5</v>
      </c>
      <c r="N340" s="4">
        <f t="shared" si="33"/>
        <v>0.94887039239001192</v>
      </c>
      <c r="O340" s="4">
        <f t="shared" si="34"/>
        <v>0.91809643948435349</v>
      </c>
      <c r="P340" s="4">
        <f t="shared" si="35"/>
        <v>0.97031734217371624</v>
      </c>
      <c r="Q340" s="24" t="s">
        <v>932</v>
      </c>
      <c r="R340" s="24" t="s">
        <v>31</v>
      </c>
      <c r="S340" s="9" t="s">
        <v>847</v>
      </c>
      <c r="V340" s="9" t="s">
        <v>51</v>
      </c>
      <c r="AB340" s="24" t="s">
        <v>65</v>
      </c>
      <c r="AC340" s="43">
        <v>66866</v>
      </c>
      <c r="AD340" s="43">
        <v>2655406</v>
      </c>
      <c r="AE340" s="1" t="s">
        <v>933</v>
      </c>
    </row>
    <row r="341" spans="1:31" s="24" customFormat="1" ht="15" customHeight="1">
      <c r="A341" s="20" t="s">
        <v>848</v>
      </c>
      <c r="C341" s="20">
        <v>213002</v>
      </c>
      <c r="D341" s="1" t="s">
        <v>27</v>
      </c>
      <c r="E341" s="24">
        <v>1.38</v>
      </c>
      <c r="F341" s="24">
        <v>4.5</v>
      </c>
      <c r="G341" s="9">
        <v>37.967991499999997</v>
      </c>
      <c r="H341" s="9">
        <v>34.231100400000003</v>
      </c>
      <c r="I341" s="24" t="s">
        <v>556</v>
      </c>
      <c r="J341" s="24" t="s">
        <v>29</v>
      </c>
      <c r="K341" s="24">
        <v>1441</v>
      </c>
      <c r="L341" s="24">
        <v>1235</v>
      </c>
      <c r="M341" s="1">
        <f t="shared" si="36"/>
        <v>1338</v>
      </c>
      <c r="N341" s="4">
        <f t="shared" si="33"/>
        <v>0.8570437196391395</v>
      </c>
      <c r="O341" s="4">
        <f t="shared" si="34"/>
        <v>0.84617705229882878</v>
      </c>
      <c r="P341" s="4">
        <f t="shared" si="35"/>
        <v>0.85637488631188441</v>
      </c>
      <c r="Q341" s="24" t="s">
        <v>47</v>
      </c>
      <c r="R341" s="24" t="s">
        <v>31</v>
      </c>
      <c r="S341" s="9" t="s">
        <v>557</v>
      </c>
      <c r="V341" s="9" t="s">
        <v>51</v>
      </c>
      <c r="AB341" s="24" t="s">
        <v>65</v>
      </c>
      <c r="AC341" s="43">
        <v>235</v>
      </c>
      <c r="AD341" s="43">
        <v>1362673</v>
      </c>
      <c r="AE341" s="44" t="s">
        <v>934</v>
      </c>
    </row>
    <row r="342" spans="1:31">
      <c r="A342" s="1" t="s">
        <v>850</v>
      </c>
      <c r="B342" s="1" t="s">
        <v>851</v>
      </c>
      <c r="C342" s="1">
        <v>244030</v>
      </c>
      <c r="D342" s="1" t="s">
        <v>27</v>
      </c>
      <c r="E342" s="1">
        <v>0.27</v>
      </c>
      <c r="F342" s="1">
        <v>1.94</v>
      </c>
      <c r="G342" s="9">
        <v>5.5503130000000001</v>
      </c>
      <c r="H342" s="9">
        <v>10.4211592</v>
      </c>
      <c r="I342" s="24" t="s">
        <v>197</v>
      </c>
      <c r="J342" s="24" t="s">
        <v>187</v>
      </c>
      <c r="K342" s="1">
        <v>739</v>
      </c>
      <c r="L342" s="1">
        <v>508</v>
      </c>
      <c r="M342" s="1">
        <f t="shared" si="36"/>
        <v>623.5</v>
      </c>
      <c r="N342" s="4">
        <f t="shared" si="33"/>
        <v>0.6874154262516915</v>
      </c>
      <c r="O342" s="4">
        <f t="shared" si="34"/>
        <v>0.62948444956061744</v>
      </c>
      <c r="P342" s="4">
        <f t="shared" si="35"/>
        <v>0.90150921082925306</v>
      </c>
      <c r="Q342" s="1" t="s">
        <v>30</v>
      </c>
      <c r="R342" s="24" t="s">
        <v>31</v>
      </c>
      <c r="S342" s="9" t="s">
        <v>849</v>
      </c>
      <c r="V342" s="9" t="s">
        <v>51</v>
      </c>
      <c r="W342" s="1">
        <v>1114</v>
      </c>
      <c r="AB342" s="24" t="s">
        <v>65</v>
      </c>
      <c r="AC342" s="43">
        <v>131944</v>
      </c>
      <c r="AD342" s="43">
        <v>3698980</v>
      </c>
      <c r="AE342" s="18" t="s">
        <v>852</v>
      </c>
    </row>
    <row r="343" spans="1:31">
      <c r="A343" s="24" t="s">
        <v>853</v>
      </c>
      <c r="C343" s="1">
        <v>259010</v>
      </c>
      <c r="D343" s="1" t="s">
        <v>27</v>
      </c>
      <c r="E343" s="1">
        <v>0.32</v>
      </c>
      <c r="F343" s="1">
        <v>2.11</v>
      </c>
      <c r="G343" s="9">
        <v>-38.323044500000002</v>
      </c>
      <c r="H343" s="9">
        <v>143.44778700000001</v>
      </c>
      <c r="I343" s="1" t="s">
        <v>360</v>
      </c>
      <c r="J343" s="1" t="s">
        <v>187</v>
      </c>
      <c r="K343" s="1">
        <v>766</v>
      </c>
      <c r="L343" s="1">
        <v>538</v>
      </c>
      <c r="M343" s="14">
        <f t="shared" si="36"/>
        <v>652</v>
      </c>
      <c r="N343" s="4">
        <f t="shared" si="33"/>
        <v>0.70234986945169708</v>
      </c>
      <c r="O343" s="4">
        <f t="shared" si="34"/>
        <v>0.69438856068834753</v>
      </c>
      <c r="P343" s="4">
        <f t="shared" si="35"/>
        <v>0.90322288281820606</v>
      </c>
      <c r="Q343" s="24" t="s">
        <v>47</v>
      </c>
      <c r="R343" s="1" t="s">
        <v>48</v>
      </c>
      <c r="S343" s="1" t="s">
        <v>361</v>
      </c>
      <c r="V343" s="9" t="s">
        <v>51</v>
      </c>
      <c r="AB343" s="24" t="s">
        <v>65</v>
      </c>
      <c r="AC343" s="15">
        <v>610391</v>
      </c>
      <c r="AD343" s="15">
        <v>610391</v>
      </c>
      <c r="AE343" s="18" t="s">
        <v>362</v>
      </c>
    </row>
    <row r="344" spans="1:31">
      <c r="A344" s="24" t="s">
        <v>854</v>
      </c>
      <c r="C344" s="1">
        <v>259010</v>
      </c>
      <c r="D344" s="1" t="s">
        <v>27</v>
      </c>
      <c r="E344" s="1">
        <v>0.57999999999999996</v>
      </c>
      <c r="F344" s="1">
        <v>2.86</v>
      </c>
      <c r="G344" s="9">
        <v>-38.327933399999999</v>
      </c>
      <c r="H344" s="9">
        <v>143.4540404</v>
      </c>
      <c r="I344" s="1" t="s">
        <v>360</v>
      </c>
      <c r="J344" s="1" t="s">
        <v>187</v>
      </c>
      <c r="K344" s="1">
        <v>1044</v>
      </c>
      <c r="L344" s="1">
        <v>723</v>
      </c>
      <c r="M344" s="14">
        <f t="shared" si="36"/>
        <v>883.5</v>
      </c>
      <c r="N344" s="4">
        <f t="shared" si="33"/>
        <v>0.69252873563218387</v>
      </c>
      <c r="O344" s="4">
        <f t="shared" si="34"/>
        <v>0.67754339332437341</v>
      </c>
      <c r="P344" s="4">
        <f t="shared" si="35"/>
        <v>0.89105762584091153</v>
      </c>
      <c r="Q344" s="24" t="s">
        <v>47</v>
      </c>
      <c r="R344" s="1" t="s">
        <v>48</v>
      </c>
      <c r="S344" s="1" t="s">
        <v>361</v>
      </c>
      <c r="V344" s="9" t="s">
        <v>51</v>
      </c>
      <c r="AB344" s="24" t="s">
        <v>65</v>
      </c>
      <c r="AC344" s="15">
        <v>610391</v>
      </c>
      <c r="AD344" s="15">
        <v>610391</v>
      </c>
      <c r="AE344" s="18" t="s">
        <v>362</v>
      </c>
    </row>
    <row r="345" spans="1:31">
      <c r="A345" s="1" t="s">
        <v>858</v>
      </c>
      <c r="C345" s="1">
        <v>231070</v>
      </c>
      <c r="D345" s="1" t="s">
        <v>27</v>
      </c>
      <c r="E345" s="1">
        <v>0.4</v>
      </c>
      <c r="F345" s="1">
        <v>2.2999999999999998</v>
      </c>
      <c r="G345" s="9">
        <v>24.205872500000002</v>
      </c>
      <c r="H345" s="9">
        <v>39.877850500000001</v>
      </c>
      <c r="I345" s="1" t="s">
        <v>267</v>
      </c>
      <c r="J345" s="1" t="s">
        <v>29</v>
      </c>
      <c r="K345" s="1">
        <v>802</v>
      </c>
      <c r="L345" s="1">
        <v>623</v>
      </c>
      <c r="M345" s="14">
        <f t="shared" si="36"/>
        <v>712.5</v>
      </c>
      <c r="N345" s="4">
        <f t="shared" si="33"/>
        <v>0.77680798004987528</v>
      </c>
      <c r="O345" s="4">
        <f t="shared" si="34"/>
        <v>0.79181071307713435</v>
      </c>
      <c r="P345" s="4">
        <f t="shared" si="35"/>
        <v>0.95019815609521174</v>
      </c>
      <c r="Q345" s="1" t="s">
        <v>30</v>
      </c>
      <c r="R345" s="1" t="s">
        <v>31</v>
      </c>
      <c r="S345" s="1" t="s">
        <v>857</v>
      </c>
      <c r="V345" s="9" t="s">
        <v>51</v>
      </c>
      <c r="Z345" s="1" t="s">
        <v>1063</v>
      </c>
      <c r="AB345" s="24" t="s">
        <v>65</v>
      </c>
      <c r="AC345" s="15">
        <v>138380</v>
      </c>
      <c r="AD345" s="15">
        <v>1010115</v>
      </c>
      <c r="AE345" s="18" t="s">
        <v>1039</v>
      </c>
    </row>
    <row r="346" spans="1:31">
      <c r="A346" s="1" t="s">
        <v>859</v>
      </c>
      <c r="C346" s="1">
        <v>231070</v>
      </c>
      <c r="D346" s="1" t="s">
        <v>27</v>
      </c>
      <c r="E346" s="1">
        <v>0.38</v>
      </c>
      <c r="F346" s="1">
        <v>2.23</v>
      </c>
      <c r="G346" s="9">
        <v>24.191213900000001</v>
      </c>
      <c r="H346" s="9">
        <v>39.873649700000001</v>
      </c>
      <c r="I346" s="1" t="s">
        <v>267</v>
      </c>
      <c r="J346" s="1" t="s">
        <v>29</v>
      </c>
      <c r="K346" s="1">
        <v>762</v>
      </c>
      <c r="L346" s="1">
        <v>654</v>
      </c>
      <c r="M346" s="14">
        <f t="shared" si="36"/>
        <v>708</v>
      </c>
      <c r="N346" s="4">
        <f t="shared" si="33"/>
        <v>0.8582677165354331</v>
      </c>
      <c r="O346" s="4">
        <f t="shared" si="34"/>
        <v>0.83326621303132697</v>
      </c>
      <c r="P346" s="4">
        <f t="shared" si="35"/>
        <v>0.9602487147251072</v>
      </c>
      <c r="Q346" s="1" t="s">
        <v>30</v>
      </c>
      <c r="R346" s="1" t="s">
        <v>31</v>
      </c>
      <c r="S346" s="1" t="s">
        <v>857</v>
      </c>
      <c r="V346" s="9" t="s">
        <v>51</v>
      </c>
      <c r="Z346" s="1" t="s">
        <v>1064</v>
      </c>
      <c r="AB346" s="24" t="s">
        <v>65</v>
      </c>
      <c r="AC346" s="15">
        <v>138380</v>
      </c>
      <c r="AD346" s="15">
        <v>1010115</v>
      </c>
      <c r="AE346" s="18" t="s">
        <v>1039</v>
      </c>
    </row>
    <row r="347" spans="1:31">
      <c r="A347" s="24" t="s">
        <v>860</v>
      </c>
      <c r="C347" s="1">
        <v>231070</v>
      </c>
      <c r="D347" s="1" t="s">
        <v>27</v>
      </c>
      <c r="E347" s="1">
        <v>0.37</v>
      </c>
      <c r="F347" s="1">
        <v>2.2999999999999998</v>
      </c>
      <c r="G347" s="9">
        <v>24.112798600000001</v>
      </c>
      <c r="H347" s="9">
        <v>39.9322163</v>
      </c>
      <c r="I347" s="1" t="s">
        <v>267</v>
      </c>
      <c r="J347" s="1" t="s">
        <v>29</v>
      </c>
      <c r="K347" s="1">
        <v>737</v>
      </c>
      <c r="L347" s="1">
        <v>577</v>
      </c>
      <c r="M347" s="14">
        <f t="shared" si="36"/>
        <v>657</v>
      </c>
      <c r="N347" s="4">
        <f t="shared" si="33"/>
        <v>0.78290366350067842</v>
      </c>
      <c r="O347" s="4">
        <f t="shared" si="34"/>
        <v>0.86731501899410712</v>
      </c>
      <c r="P347" s="4">
        <f t="shared" si="35"/>
        <v>0.87893329438807077</v>
      </c>
      <c r="Q347" s="1" t="s">
        <v>30</v>
      </c>
      <c r="R347" s="1" t="s">
        <v>31</v>
      </c>
      <c r="S347" s="1" t="s">
        <v>857</v>
      </c>
      <c r="V347" s="9" t="s">
        <v>51</v>
      </c>
      <c r="Z347" s="1" t="s">
        <v>937</v>
      </c>
      <c r="AB347" s="24" t="s">
        <v>65</v>
      </c>
      <c r="AC347" s="15">
        <v>138380</v>
      </c>
      <c r="AD347" s="15">
        <v>1010115</v>
      </c>
      <c r="AE347" s="18" t="s">
        <v>1169</v>
      </c>
    </row>
    <row r="348" spans="1:31">
      <c r="A348" s="24" t="s">
        <v>856</v>
      </c>
      <c r="C348" s="1">
        <v>231070</v>
      </c>
      <c r="D348" s="1" t="s">
        <v>27</v>
      </c>
      <c r="E348" s="1">
        <v>4.2000000000000003E-2</v>
      </c>
      <c r="F348" s="1">
        <v>0.73</v>
      </c>
      <c r="G348" s="9">
        <v>24.103909900000001</v>
      </c>
      <c r="H348" s="9">
        <v>39.952181500000002</v>
      </c>
      <c r="I348" s="1" t="s">
        <v>267</v>
      </c>
      <c r="J348" s="1" t="s">
        <v>29</v>
      </c>
      <c r="K348" s="1">
        <v>249</v>
      </c>
      <c r="L348" s="1">
        <v>218</v>
      </c>
      <c r="M348" s="14">
        <f t="shared" si="36"/>
        <v>233.5</v>
      </c>
      <c r="N348" s="4">
        <f t="shared" si="33"/>
        <v>0.87550200803212852</v>
      </c>
      <c r="O348" s="4">
        <f t="shared" si="34"/>
        <v>0.86250319960769728</v>
      </c>
      <c r="P348" s="4">
        <f t="shared" si="35"/>
        <v>0.99040639107353212</v>
      </c>
      <c r="Q348" s="1" t="s">
        <v>30</v>
      </c>
      <c r="R348" s="1" t="s">
        <v>31</v>
      </c>
      <c r="S348" s="1" t="s">
        <v>857</v>
      </c>
      <c r="V348" s="9" t="s">
        <v>51</v>
      </c>
      <c r="Z348" s="1" t="s">
        <v>936</v>
      </c>
      <c r="AB348" s="24" t="s">
        <v>65</v>
      </c>
      <c r="AC348" s="15">
        <v>138380</v>
      </c>
      <c r="AD348" s="15">
        <v>1010115</v>
      </c>
      <c r="AE348" s="18" t="s">
        <v>1169</v>
      </c>
    </row>
    <row r="349" spans="1:31">
      <c r="A349" s="61" t="s">
        <v>862</v>
      </c>
      <c r="B349" s="1" t="s">
        <v>939</v>
      </c>
      <c r="C349" s="1">
        <v>372050</v>
      </c>
      <c r="D349" s="1" t="s">
        <v>79</v>
      </c>
      <c r="E349" s="1">
        <v>1.02</v>
      </c>
      <c r="F349" s="1">
        <v>4.0999999999999996</v>
      </c>
      <c r="G349" s="9">
        <v>-19.002610000000001</v>
      </c>
      <c r="H349" s="9">
        <v>64.038470000000004</v>
      </c>
      <c r="I349" s="1" t="s">
        <v>80</v>
      </c>
      <c r="J349" s="1" t="s">
        <v>187</v>
      </c>
      <c r="K349" s="1">
        <v>1603</v>
      </c>
      <c r="L349" s="1">
        <v>782</v>
      </c>
      <c r="M349" s="14">
        <f t="shared" si="36"/>
        <v>1192.5</v>
      </c>
      <c r="N349" s="4">
        <f t="shared" si="33"/>
        <v>0.48783530879600751</v>
      </c>
      <c r="O349" s="4">
        <f t="shared" si="34"/>
        <v>0.50540931932829702</v>
      </c>
      <c r="P349" s="4">
        <f t="shared" si="35"/>
        <v>0.7625043442383318</v>
      </c>
      <c r="Q349" s="1" t="s">
        <v>30</v>
      </c>
      <c r="R349" s="1" t="s">
        <v>65</v>
      </c>
      <c r="S349" s="1" t="s">
        <v>939</v>
      </c>
      <c r="V349" s="1" t="s">
        <v>938</v>
      </c>
      <c r="AB349" s="24" t="s">
        <v>65</v>
      </c>
      <c r="AC349" s="15">
        <v>0</v>
      </c>
      <c r="AD349" s="15">
        <v>16304</v>
      </c>
      <c r="AE349" s="18" t="s">
        <v>1181</v>
      </c>
    </row>
    <row r="350" spans="1:31">
      <c r="A350" s="1" t="s">
        <v>863</v>
      </c>
      <c r="C350" s="1">
        <v>221291</v>
      </c>
      <c r="D350" s="1" t="s">
        <v>27</v>
      </c>
      <c r="E350" s="1">
        <v>0.11</v>
      </c>
      <c r="F350" s="1">
        <v>1.18</v>
      </c>
      <c r="G350" s="9">
        <v>8.0443136000000006</v>
      </c>
      <c r="H350" s="9">
        <v>38.351283700000003</v>
      </c>
      <c r="I350" s="1" t="s">
        <v>276</v>
      </c>
      <c r="J350" s="1" t="s">
        <v>29</v>
      </c>
      <c r="K350" s="1">
        <v>395</v>
      </c>
      <c r="L350" s="1">
        <v>344</v>
      </c>
      <c r="M350" s="14">
        <f t="shared" si="36"/>
        <v>369.5</v>
      </c>
      <c r="N350" s="4">
        <f t="shared" si="33"/>
        <v>0.87088607594936707</v>
      </c>
      <c r="O350" s="4">
        <f t="shared" si="34"/>
        <v>0.89765326018822544</v>
      </c>
      <c r="P350" s="4">
        <f t="shared" si="35"/>
        <v>0.99274688852306037</v>
      </c>
      <c r="Q350" s="1" t="s">
        <v>47</v>
      </c>
      <c r="R350" s="1" t="s">
        <v>31</v>
      </c>
      <c r="S350" s="1" t="s">
        <v>602</v>
      </c>
      <c r="V350" s="1" t="s">
        <v>51</v>
      </c>
      <c r="AB350" s="24" t="s">
        <v>65</v>
      </c>
      <c r="AC350" s="15">
        <v>359001</v>
      </c>
      <c r="AD350" s="15">
        <v>9860754</v>
      </c>
      <c r="AE350" s="18" t="s">
        <v>43</v>
      </c>
    </row>
    <row r="351" spans="1:31">
      <c r="A351" s="1" t="s">
        <v>866</v>
      </c>
      <c r="B351" s="1" t="s">
        <v>1000</v>
      </c>
      <c r="C351" s="1">
        <v>222166</v>
      </c>
      <c r="D351" s="1" t="s">
        <v>27</v>
      </c>
      <c r="E351" s="1">
        <v>0.44</v>
      </c>
      <c r="F351" s="1">
        <v>2.4</v>
      </c>
      <c r="G351" s="9">
        <v>-9.3066773000000005</v>
      </c>
      <c r="H351" s="9">
        <v>33.8645858</v>
      </c>
      <c r="I351" s="1" t="s">
        <v>149</v>
      </c>
      <c r="J351" s="1" t="s">
        <v>187</v>
      </c>
      <c r="K351" s="1">
        <v>790</v>
      </c>
      <c r="L351" s="1">
        <v>767</v>
      </c>
      <c r="M351" s="1">
        <f t="shared" si="36"/>
        <v>778.5</v>
      </c>
      <c r="N351" s="4">
        <f t="shared" si="33"/>
        <v>0.97088607594936704</v>
      </c>
      <c r="O351" s="4">
        <f t="shared" si="34"/>
        <v>0.89765326018822544</v>
      </c>
      <c r="P351" s="4">
        <f t="shared" si="35"/>
        <v>0.95993108859688137</v>
      </c>
      <c r="Q351" s="1" t="s">
        <v>30</v>
      </c>
      <c r="R351" s="1" t="s">
        <v>48</v>
      </c>
      <c r="S351" s="1" t="s">
        <v>540</v>
      </c>
      <c r="V351" s="1" t="s">
        <v>695</v>
      </c>
      <c r="AB351" s="24" t="s">
        <v>65</v>
      </c>
      <c r="AC351" s="15">
        <v>644</v>
      </c>
      <c r="AD351" s="15">
        <v>2299914</v>
      </c>
      <c r="AE351" s="18" t="s">
        <v>944</v>
      </c>
    </row>
    <row r="352" spans="1:31" ht="13.15" customHeight="1">
      <c r="A352" s="24" t="s">
        <v>867</v>
      </c>
      <c r="C352" s="1">
        <v>222120</v>
      </c>
      <c r="D352" s="1" t="s">
        <v>27</v>
      </c>
      <c r="E352" s="1">
        <v>0.66</v>
      </c>
      <c r="F352" s="1">
        <v>2.98</v>
      </c>
      <c r="G352" s="9">
        <v>-2.6128716000000001</v>
      </c>
      <c r="H352" s="9">
        <v>35.863996999999998</v>
      </c>
      <c r="I352" s="1" t="s">
        <v>149</v>
      </c>
      <c r="J352" s="1" t="s">
        <v>29</v>
      </c>
      <c r="K352" s="1">
        <v>981</v>
      </c>
      <c r="L352" s="1">
        <v>926</v>
      </c>
      <c r="M352" s="1">
        <f t="shared" si="36"/>
        <v>953.5</v>
      </c>
      <c r="N352" s="4">
        <f t="shared" si="33"/>
        <v>0.94393476044852187</v>
      </c>
      <c r="O352" s="4">
        <f t="shared" si="34"/>
        <v>0.8732046493210005</v>
      </c>
      <c r="P352" s="4">
        <f t="shared" si="35"/>
        <v>0.93394493552959934</v>
      </c>
      <c r="Q352" s="1" t="s">
        <v>30</v>
      </c>
      <c r="R352" s="1" t="s">
        <v>48</v>
      </c>
      <c r="S352" s="1" t="s">
        <v>150</v>
      </c>
      <c r="V352" s="1" t="s">
        <v>695</v>
      </c>
      <c r="AB352" s="24" t="s">
        <v>65</v>
      </c>
      <c r="AC352" s="1" t="s">
        <v>36</v>
      </c>
      <c r="AD352" s="1" t="s">
        <v>36</v>
      </c>
      <c r="AE352" s="18" t="s">
        <v>154</v>
      </c>
    </row>
    <row r="353" spans="1:31">
      <c r="A353" s="1" t="s">
        <v>869</v>
      </c>
      <c r="B353" s="1" t="s">
        <v>870</v>
      </c>
      <c r="C353" s="1">
        <v>223003</v>
      </c>
      <c r="D353" s="1" t="s">
        <v>27</v>
      </c>
      <c r="E353" s="1">
        <v>3.23</v>
      </c>
      <c r="F353" s="1">
        <v>8.19</v>
      </c>
      <c r="G353" s="9">
        <v>-6.8524699999999994E-2</v>
      </c>
      <c r="H353" s="9">
        <v>29.975653699999999</v>
      </c>
      <c r="I353" s="1" t="s">
        <v>550</v>
      </c>
      <c r="J353" s="1" t="s">
        <v>187</v>
      </c>
      <c r="K353" s="1">
        <v>2868</v>
      </c>
      <c r="L353" s="1">
        <v>1348</v>
      </c>
      <c r="M353" s="1">
        <f t="shared" si="36"/>
        <v>2108</v>
      </c>
      <c r="N353" s="4">
        <f t="shared" si="33"/>
        <v>0.47001394700139471</v>
      </c>
      <c r="O353" s="4">
        <f t="shared" si="34"/>
        <v>0.49998197412006679</v>
      </c>
      <c r="P353" s="4">
        <f t="shared" si="35"/>
        <v>0.60512428546650932</v>
      </c>
      <c r="Q353" s="1" t="s">
        <v>932</v>
      </c>
      <c r="R353" s="1" t="s">
        <v>48</v>
      </c>
      <c r="S353" s="1" t="s">
        <v>551</v>
      </c>
      <c r="V353" s="1" t="s">
        <v>695</v>
      </c>
      <c r="AB353" s="1" t="s">
        <v>48</v>
      </c>
      <c r="AC353" s="15">
        <v>446218</v>
      </c>
      <c r="AD353" s="15">
        <v>6241035</v>
      </c>
      <c r="AE353" s="9" t="s">
        <v>946</v>
      </c>
    </row>
    <row r="354" spans="1:31">
      <c r="A354" s="24" t="s">
        <v>872</v>
      </c>
      <c r="C354" s="1">
        <v>223003</v>
      </c>
      <c r="D354" s="1" t="s">
        <v>27</v>
      </c>
      <c r="E354" s="1">
        <v>9</v>
      </c>
      <c r="F354" s="1">
        <v>12.8</v>
      </c>
      <c r="G354" s="9">
        <v>-0.1215899</v>
      </c>
      <c r="H354" s="9">
        <v>29.871814499999999</v>
      </c>
      <c r="I354" s="1" t="s">
        <v>550</v>
      </c>
      <c r="J354" s="1" t="s">
        <v>187</v>
      </c>
      <c r="K354" s="1">
        <v>3937</v>
      </c>
      <c r="L354" s="1">
        <v>3489</v>
      </c>
      <c r="M354" s="14">
        <f t="shared" si="36"/>
        <v>3713</v>
      </c>
      <c r="N354" s="4">
        <f t="shared" si="33"/>
        <v>0.88620777241554483</v>
      </c>
      <c r="O354" s="4">
        <f t="shared" si="34"/>
        <v>0.73930185941768434</v>
      </c>
      <c r="P354" s="4">
        <f t="shared" si="35"/>
        <v>0.69029135454853852</v>
      </c>
      <c r="Q354" s="1" t="s">
        <v>932</v>
      </c>
      <c r="R354" s="1" t="s">
        <v>48</v>
      </c>
      <c r="S354" s="1" t="s">
        <v>551</v>
      </c>
      <c r="V354" s="1" t="s">
        <v>695</v>
      </c>
      <c r="AB354" s="1" t="s">
        <v>48</v>
      </c>
      <c r="AC354" s="15">
        <v>446218</v>
      </c>
      <c r="AD354" s="15">
        <v>6241035</v>
      </c>
      <c r="AE354" s="18" t="s">
        <v>945</v>
      </c>
    </row>
    <row r="355" spans="1:31">
      <c r="A355" s="24" t="s">
        <v>873</v>
      </c>
      <c r="C355" s="1">
        <v>223003</v>
      </c>
      <c r="D355" s="1" t="s">
        <v>27</v>
      </c>
      <c r="E355" s="1">
        <v>2.23</v>
      </c>
      <c r="F355" s="1">
        <v>5.56</v>
      </c>
      <c r="G355" s="9">
        <v>-0.1351136</v>
      </c>
      <c r="H355" s="9">
        <v>29.8856289</v>
      </c>
      <c r="I355" s="1" t="s">
        <v>550</v>
      </c>
      <c r="J355" s="1" t="s">
        <v>187</v>
      </c>
      <c r="K355" s="1">
        <v>1780</v>
      </c>
      <c r="L355" s="1">
        <v>1760</v>
      </c>
      <c r="M355" s="14">
        <f t="shared" si="36"/>
        <v>1770</v>
      </c>
      <c r="N355" s="4">
        <f t="shared" si="33"/>
        <v>0.9887640449438202</v>
      </c>
      <c r="O355" s="4">
        <f t="shared" si="34"/>
        <v>0.89613817218766967</v>
      </c>
      <c r="P355" s="4">
        <f t="shared" si="35"/>
        <v>0.90649443837084509</v>
      </c>
      <c r="Q355" s="1" t="s">
        <v>932</v>
      </c>
      <c r="R355" s="1" t="s">
        <v>48</v>
      </c>
      <c r="S355" s="1" t="s">
        <v>551</v>
      </c>
      <c r="V355" s="1" t="s">
        <v>695</v>
      </c>
      <c r="AB355" s="1" t="s">
        <v>65</v>
      </c>
      <c r="AC355" s="15">
        <v>446218</v>
      </c>
      <c r="AD355" s="15">
        <v>6241035</v>
      </c>
      <c r="AE355" s="18" t="s">
        <v>871</v>
      </c>
    </row>
    <row r="356" spans="1:31">
      <c r="A356" s="1" t="s">
        <v>1126</v>
      </c>
      <c r="C356" s="1">
        <v>223003</v>
      </c>
      <c r="D356" s="1" t="s">
        <v>27</v>
      </c>
      <c r="E356" s="1">
        <v>1.3</v>
      </c>
      <c r="F356" s="1">
        <v>4.17</v>
      </c>
      <c r="G356" s="9">
        <v>-1.3262899999999999E-2</v>
      </c>
      <c r="H356" s="9">
        <v>29.9661601</v>
      </c>
      <c r="I356" s="1" t="s">
        <v>550</v>
      </c>
      <c r="J356" s="1" t="s">
        <v>187</v>
      </c>
      <c r="K356" s="1">
        <v>1365</v>
      </c>
      <c r="L356" s="1">
        <v>1296</v>
      </c>
      <c r="M356" s="14">
        <f t="shared" si="36"/>
        <v>1330.5</v>
      </c>
      <c r="N356" s="4">
        <f t="shared" si="33"/>
        <v>0.94945054945054941</v>
      </c>
      <c r="O356" s="4">
        <f t="shared" ref="O356:O387" si="37">E356/(PI()*((K356/2000)^2))</f>
        <v>0.88835830785638425</v>
      </c>
      <c r="P356" s="4">
        <f t="shared" ref="P356:P387" si="38">E356/(((F356/(2*PI()))^2)*PI())</f>
        <v>0.93946608460954539</v>
      </c>
      <c r="Q356" s="1" t="s">
        <v>932</v>
      </c>
      <c r="R356" s="1" t="s">
        <v>48</v>
      </c>
      <c r="S356" s="1" t="s">
        <v>551</v>
      </c>
      <c r="V356" s="1" t="s">
        <v>695</v>
      </c>
      <c r="AB356" s="1" t="s">
        <v>65</v>
      </c>
      <c r="AC356" s="15">
        <v>446218</v>
      </c>
      <c r="AD356" s="15">
        <v>6241035</v>
      </c>
      <c r="AE356" s="18" t="s">
        <v>871</v>
      </c>
    </row>
    <row r="357" spans="1:31">
      <c r="A357" s="33" t="s">
        <v>874</v>
      </c>
      <c r="B357" s="1" t="s">
        <v>878</v>
      </c>
      <c r="C357" s="1">
        <v>223002</v>
      </c>
      <c r="D357" s="1" t="s">
        <v>27</v>
      </c>
      <c r="E357" s="1">
        <v>0.74</v>
      </c>
      <c r="F357" s="1">
        <v>3.13</v>
      </c>
      <c r="G357" s="9">
        <v>0.4814736</v>
      </c>
      <c r="H357" s="9">
        <v>30.263422299999998</v>
      </c>
      <c r="I357" s="1" t="s">
        <v>550</v>
      </c>
      <c r="J357" s="1" t="s">
        <v>187</v>
      </c>
      <c r="K357" s="1">
        <v>1061</v>
      </c>
      <c r="L357" s="1">
        <v>887</v>
      </c>
      <c r="M357" s="14">
        <f t="shared" si="36"/>
        <v>974</v>
      </c>
      <c r="N357" s="4">
        <f t="shared" si="33"/>
        <v>0.83600377002827519</v>
      </c>
      <c r="O357" s="4">
        <f t="shared" si="37"/>
        <v>0.83697227208519742</v>
      </c>
      <c r="P357" s="4">
        <f t="shared" si="38"/>
        <v>0.94918946346556443</v>
      </c>
      <c r="Q357" s="1" t="s">
        <v>932</v>
      </c>
      <c r="R357" s="1" t="s">
        <v>48</v>
      </c>
      <c r="S357" s="1" t="s">
        <v>875</v>
      </c>
      <c r="V357" s="1" t="s">
        <v>695</v>
      </c>
      <c r="W357" s="1">
        <v>1343</v>
      </c>
      <c r="AB357" s="1" t="s">
        <v>65</v>
      </c>
      <c r="AC357" s="15">
        <v>271685</v>
      </c>
      <c r="AD357" s="15">
        <v>4350194</v>
      </c>
      <c r="AE357" s="18" t="s">
        <v>947</v>
      </c>
    </row>
    <row r="358" spans="1:31">
      <c r="A358" s="1" t="s">
        <v>876</v>
      </c>
      <c r="B358" s="1" t="s">
        <v>878</v>
      </c>
      <c r="C358" s="1">
        <v>223002</v>
      </c>
      <c r="D358" s="1" t="s">
        <v>27</v>
      </c>
      <c r="E358" s="1">
        <v>0.64</v>
      </c>
      <c r="F358" s="1">
        <v>2.96</v>
      </c>
      <c r="G358" s="9">
        <v>0.4194503</v>
      </c>
      <c r="H358" s="9">
        <v>30.309142300000001</v>
      </c>
      <c r="I358" s="1" t="s">
        <v>550</v>
      </c>
      <c r="J358" s="1" t="s">
        <v>187</v>
      </c>
      <c r="K358" s="1">
        <v>972</v>
      </c>
      <c r="L358" s="1">
        <v>926</v>
      </c>
      <c r="M358" s="14">
        <f t="shared" si="36"/>
        <v>949</v>
      </c>
      <c r="N358" s="4">
        <f t="shared" si="33"/>
        <v>0.95267489711934161</v>
      </c>
      <c r="O358" s="4">
        <f t="shared" si="37"/>
        <v>0.86249693965023144</v>
      </c>
      <c r="P358" s="4">
        <f t="shared" si="38"/>
        <v>0.91792334655655028</v>
      </c>
      <c r="Q358" s="1" t="s">
        <v>932</v>
      </c>
      <c r="R358" s="1" t="s">
        <v>48</v>
      </c>
      <c r="S358" s="1" t="s">
        <v>875</v>
      </c>
      <c r="V358" s="1" t="s">
        <v>695</v>
      </c>
      <c r="W358" s="1">
        <v>1204</v>
      </c>
      <c r="AB358" s="1" t="s">
        <v>65</v>
      </c>
      <c r="AC358" s="15">
        <v>271685</v>
      </c>
      <c r="AD358" s="15">
        <v>4350194</v>
      </c>
      <c r="AE358" s="18" t="s">
        <v>949</v>
      </c>
    </row>
    <row r="359" spans="1:31">
      <c r="A359" s="1" t="s">
        <v>877</v>
      </c>
      <c r="B359" s="1" t="s">
        <v>878</v>
      </c>
      <c r="C359" s="1">
        <v>223002</v>
      </c>
      <c r="D359" s="1" t="s">
        <v>27</v>
      </c>
      <c r="E359" s="1">
        <v>0.44</v>
      </c>
      <c r="F359" s="1">
        <v>2.87</v>
      </c>
      <c r="G359" s="9">
        <v>0.42015330000000001</v>
      </c>
      <c r="H359" s="9">
        <v>30.266051300000001</v>
      </c>
      <c r="I359" s="1" t="s">
        <v>550</v>
      </c>
      <c r="J359" s="1" t="s">
        <v>187</v>
      </c>
      <c r="K359" s="1">
        <v>938</v>
      </c>
      <c r="L359" s="1">
        <v>554</v>
      </c>
      <c r="M359" s="1">
        <f t="shared" si="36"/>
        <v>746</v>
      </c>
      <c r="N359" s="4">
        <f t="shared" si="33"/>
        <v>0.59061833688699361</v>
      </c>
      <c r="O359" s="4">
        <f t="shared" si="37"/>
        <v>0.63673264770058291</v>
      </c>
      <c r="P359" s="4">
        <f t="shared" si="38"/>
        <v>0.67127233186247692</v>
      </c>
      <c r="Q359" s="1" t="s">
        <v>932</v>
      </c>
      <c r="R359" s="1" t="s">
        <v>48</v>
      </c>
      <c r="S359" s="1" t="s">
        <v>875</v>
      </c>
      <c r="V359" s="1" t="s">
        <v>695</v>
      </c>
      <c r="AB359" s="1" t="s">
        <v>48</v>
      </c>
      <c r="AC359" s="15">
        <v>271685</v>
      </c>
      <c r="AD359" s="15">
        <v>4350194</v>
      </c>
      <c r="AE359" s="18" t="s">
        <v>1168</v>
      </c>
    </row>
    <row r="360" spans="1:31">
      <c r="A360" s="24" t="s">
        <v>879</v>
      </c>
      <c r="C360" s="24">
        <v>223004</v>
      </c>
      <c r="D360" s="1" t="s">
        <v>27</v>
      </c>
      <c r="E360" s="1">
        <v>1.53</v>
      </c>
      <c r="F360" s="1">
        <v>4.49</v>
      </c>
      <c r="G360" s="9">
        <v>-0.25475680000000001</v>
      </c>
      <c r="H360" s="9">
        <v>30.1156994</v>
      </c>
      <c r="I360" s="1" t="s">
        <v>550</v>
      </c>
      <c r="J360" s="1" t="s">
        <v>187</v>
      </c>
      <c r="K360" s="1">
        <v>1546</v>
      </c>
      <c r="L360" s="1">
        <v>1278</v>
      </c>
      <c r="M360" s="1">
        <f t="shared" si="36"/>
        <v>1412</v>
      </c>
      <c r="N360" s="4">
        <f t="shared" si="33"/>
        <v>0.82664941785252266</v>
      </c>
      <c r="O360" s="4">
        <f t="shared" si="37"/>
        <v>0.81504684435600583</v>
      </c>
      <c r="P360" s="4">
        <f t="shared" si="38"/>
        <v>0.95369303921952431</v>
      </c>
      <c r="Q360" s="1" t="s">
        <v>932</v>
      </c>
      <c r="R360" s="1" t="s">
        <v>48</v>
      </c>
      <c r="S360" s="24" t="s">
        <v>674</v>
      </c>
      <c r="V360" s="1" t="s">
        <v>695</v>
      </c>
      <c r="AB360" s="1" t="s">
        <v>65</v>
      </c>
      <c r="AC360" s="15">
        <v>177517</v>
      </c>
      <c r="AD360" s="15">
        <v>5955535</v>
      </c>
      <c r="AE360" s="18" t="s">
        <v>1071</v>
      </c>
    </row>
    <row r="361" spans="1:31">
      <c r="A361" s="1" t="s">
        <v>950</v>
      </c>
      <c r="C361" s="24">
        <v>223004</v>
      </c>
      <c r="D361" s="1" t="s">
        <v>27</v>
      </c>
      <c r="E361" s="1">
        <v>0.35</v>
      </c>
      <c r="F361" s="1">
        <v>2.19</v>
      </c>
      <c r="G361" s="9">
        <v>-0.25950770000000001</v>
      </c>
      <c r="H361" s="9">
        <v>-0.25950770000000001</v>
      </c>
      <c r="I361" s="1" t="s">
        <v>550</v>
      </c>
      <c r="J361" s="1" t="s">
        <v>187</v>
      </c>
      <c r="K361" s="1">
        <v>805</v>
      </c>
      <c r="L361" s="1">
        <v>572</v>
      </c>
      <c r="M361" s="1">
        <f t="shared" si="36"/>
        <v>688.5</v>
      </c>
      <c r="N361" s="4">
        <f t="shared" si="33"/>
        <v>0.71055900621118018</v>
      </c>
      <c r="O361" s="4">
        <f t="shared" si="37"/>
        <v>0.68768001335952611</v>
      </c>
      <c r="P361" s="4">
        <f t="shared" si="38"/>
        <v>0.91704295469771491</v>
      </c>
      <c r="Q361" s="1" t="s">
        <v>932</v>
      </c>
      <c r="R361" s="1" t="s">
        <v>48</v>
      </c>
      <c r="S361" s="24" t="s">
        <v>674</v>
      </c>
      <c r="V361" s="1" t="s">
        <v>695</v>
      </c>
      <c r="W361" s="1">
        <v>1281</v>
      </c>
      <c r="AB361" s="1" t="s">
        <v>65</v>
      </c>
      <c r="AC361" s="15">
        <v>177517</v>
      </c>
      <c r="AD361" s="15">
        <v>5955535</v>
      </c>
      <c r="AE361" s="18" t="s">
        <v>1072</v>
      </c>
    </row>
    <row r="362" spans="1:31">
      <c r="A362" s="1" t="s">
        <v>962</v>
      </c>
      <c r="C362" s="24">
        <v>223004</v>
      </c>
      <c r="D362" s="1" t="s">
        <v>27</v>
      </c>
      <c r="E362" s="1">
        <v>0.28000000000000003</v>
      </c>
      <c r="F362" s="1">
        <v>1.97</v>
      </c>
      <c r="G362" s="9">
        <v>-0.25875429999999999</v>
      </c>
      <c r="H362" s="9">
        <v>30.131959500000001</v>
      </c>
      <c r="I362" s="1" t="s">
        <v>550</v>
      </c>
      <c r="J362" s="1" t="s">
        <v>187</v>
      </c>
      <c r="K362" s="1">
        <v>712</v>
      </c>
      <c r="L362" s="1">
        <v>469</v>
      </c>
      <c r="M362" s="1">
        <f t="shared" si="36"/>
        <v>590.5</v>
      </c>
      <c r="N362" s="4">
        <f t="shared" si="33"/>
        <v>0.6587078651685393</v>
      </c>
      <c r="O362" s="4">
        <f t="shared" si="37"/>
        <v>0.70324744454189347</v>
      </c>
      <c r="P362" s="4">
        <f t="shared" si="38"/>
        <v>0.9066411842666825</v>
      </c>
      <c r="Q362" s="1" t="s">
        <v>932</v>
      </c>
      <c r="R362" s="1" t="s">
        <v>48</v>
      </c>
      <c r="S362" s="24" t="s">
        <v>674</v>
      </c>
      <c r="V362" s="1" t="s">
        <v>695</v>
      </c>
      <c r="AB362" s="1" t="s">
        <v>65</v>
      </c>
      <c r="AC362" s="15">
        <v>177517</v>
      </c>
      <c r="AD362" s="15">
        <v>5955535</v>
      </c>
      <c r="AE362" s="18" t="s">
        <v>1071</v>
      </c>
    </row>
    <row r="363" spans="1:31">
      <c r="A363" s="1" t="s">
        <v>963</v>
      </c>
      <c r="C363" s="24">
        <v>223004</v>
      </c>
      <c r="D363" s="1" t="s">
        <v>27</v>
      </c>
      <c r="E363" s="1">
        <v>0.31</v>
      </c>
      <c r="F363" s="1">
        <v>2.0299999999999998</v>
      </c>
      <c r="G363" s="9">
        <v>-0.26233240000000002</v>
      </c>
      <c r="H363" s="9">
        <v>30.1561579</v>
      </c>
      <c r="I363" s="1" t="s">
        <v>550</v>
      </c>
      <c r="J363" s="1" t="s">
        <v>187</v>
      </c>
      <c r="K363" s="1">
        <v>637</v>
      </c>
      <c r="L363" s="1">
        <v>603</v>
      </c>
      <c r="M363" s="1">
        <f t="shared" si="36"/>
        <v>620</v>
      </c>
      <c r="N363" s="4">
        <f t="shared" si="33"/>
        <v>0.94662480376766089</v>
      </c>
      <c r="O363" s="4">
        <f t="shared" si="37"/>
        <v>0.97273142814729674</v>
      </c>
      <c r="P363" s="4">
        <f t="shared" si="38"/>
        <v>0.94532138378784847</v>
      </c>
      <c r="Q363" s="1" t="s">
        <v>932</v>
      </c>
      <c r="R363" s="1" t="s">
        <v>48</v>
      </c>
      <c r="S363" s="24" t="s">
        <v>674</v>
      </c>
      <c r="V363" s="1" t="s">
        <v>695</v>
      </c>
      <c r="AB363" s="1" t="s">
        <v>65</v>
      </c>
      <c r="AC363" s="15">
        <v>177517</v>
      </c>
      <c r="AD363" s="15">
        <v>5955535</v>
      </c>
      <c r="AE363" s="18" t="s">
        <v>1073</v>
      </c>
    </row>
    <row r="364" spans="1:31">
      <c r="A364" s="1" t="s">
        <v>948</v>
      </c>
      <c r="C364" s="24">
        <v>223004</v>
      </c>
      <c r="D364" s="1" t="s">
        <v>27</v>
      </c>
      <c r="E364" s="1">
        <v>0.61</v>
      </c>
      <c r="F364" s="1">
        <v>3.22</v>
      </c>
      <c r="G364" s="9">
        <v>-0.26683679999999999</v>
      </c>
      <c r="H364" s="9">
        <v>30.100730800000001</v>
      </c>
      <c r="I364" s="1" t="s">
        <v>550</v>
      </c>
      <c r="J364" s="1" t="s">
        <v>880</v>
      </c>
      <c r="K364" s="1">
        <v>1182</v>
      </c>
      <c r="L364" s="1">
        <v>559</v>
      </c>
      <c r="M364" s="1">
        <f t="shared" si="36"/>
        <v>870.5</v>
      </c>
      <c r="N364" s="4">
        <f t="shared" si="33"/>
        <v>0.47292724196277497</v>
      </c>
      <c r="O364" s="4">
        <f t="shared" si="37"/>
        <v>0.55591065810081952</v>
      </c>
      <c r="P364" s="4">
        <f t="shared" si="38"/>
        <v>0.73931234083938635</v>
      </c>
      <c r="Q364" s="1" t="s">
        <v>932</v>
      </c>
      <c r="R364" s="1" t="s">
        <v>48</v>
      </c>
      <c r="S364" s="24" t="s">
        <v>674</v>
      </c>
      <c r="V364" s="1" t="s">
        <v>695</v>
      </c>
      <c r="W364" s="1">
        <v>1266</v>
      </c>
      <c r="AB364" s="1" t="s">
        <v>48</v>
      </c>
      <c r="AC364" s="15">
        <v>177517</v>
      </c>
      <c r="AD364" s="15">
        <v>5955535</v>
      </c>
      <c r="AE364" s="18" t="s">
        <v>1074</v>
      </c>
    </row>
    <row r="365" spans="1:31">
      <c r="A365" s="1" t="s">
        <v>1008</v>
      </c>
      <c r="C365" s="24">
        <v>223004</v>
      </c>
      <c r="D365" s="1" t="s">
        <v>27</v>
      </c>
      <c r="E365" s="1">
        <v>1.2</v>
      </c>
      <c r="F365" s="1">
        <v>3.98</v>
      </c>
      <c r="G365" s="9">
        <v>-0.10031089999999999</v>
      </c>
      <c r="H365" s="9">
        <v>30.178679599999999</v>
      </c>
      <c r="I365" s="1" t="s">
        <v>550</v>
      </c>
      <c r="J365" s="1" t="s">
        <v>187</v>
      </c>
      <c r="K365" s="1">
        <v>1327</v>
      </c>
      <c r="L365" s="1">
        <v>1195</v>
      </c>
      <c r="M365" s="1">
        <f t="shared" si="36"/>
        <v>1261</v>
      </c>
      <c r="N365" s="4">
        <f t="shared" si="33"/>
        <v>0.90052750565184625</v>
      </c>
      <c r="O365" s="4">
        <f t="shared" si="37"/>
        <v>0.86765988502784341</v>
      </c>
      <c r="P365" s="4">
        <f t="shared" si="38"/>
        <v>0.95197373407432917</v>
      </c>
      <c r="Q365" s="1" t="s">
        <v>932</v>
      </c>
      <c r="R365" s="1" t="s">
        <v>48</v>
      </c>
      <c r="S365" s="24" t="s">
        <v>674</v>
      </c>
      <c r="V365" s="1" t="s">
        <v>695</v>
      </c>
      <c r="AB365" s="1" t="s">
        <v>65</v>
      </c>
      <c r="AC365" s="15">
        <v>177517</v>
      </c>
      <c r="AD365" s="15">
        <v>5955535</v>
      </c>
      <c r="AE365" s="18" t="s">
        <v>1071</v>
      </c>
    </row>
    <row r="366" spans="1:31" ht="15" customHeight="1">
      <c r="A366" s="1" t="s">
        <v>881</v>
      </c>
      <c r="C366" s="24">
        <v>223004</v>
      </c>
      <c r="D366" s="1" t="s">
        <v>27</v>
      </c>
      <c r="E366" s="1">
        <v>0.78</v>
      </c>
      <c r="F366" s="1">
        <v>3.25</v>
      </c>
      <c r="G366" s="9">
        <v>-9.5352000000000006E-2</v>
      </c>
      <c r="H366" s="9">
        <v>30.191888800000001</v>
      </c>
      <c r="I366" s="1" t="s">
        <v>550</v>
      </c>
      <c r="J366" s="1" t="s">
        <v>187</v>
      </c>
      <c r="K366" s="1">
        <v>1082</v>
      </c>
      <c r="L366" s="1">
        <v>925</v>
      </c>
      <c r="M366" s="1">
        <f t="shared" si="36"/>
        <v>1003.5</v>
      </c>
      <c r="N366" s="4">
        <f t="shared" si="33"/>
        <v>0.85489833641404811</v>
      </c>
      <c r="O366" s="4">
        <f t="shared" si="37"/>
        <v>0.84830143133089175</v>
      </c>
      <c r="P366" s="4">
        <f t="shared" si="38"/>
        <v>0.92797813767575443</v>
      </c>
      <c r="Q366" s="1" t="s">
        <v>932</v>
      </c>
      <c r="R366" s="1" t="s">
        <v>48</v>
      </c>
      <c r="S366" s="24" t="s">
        <v>674</v>
      </c>
      <c r="V366" s="1" t="s">
        <v>695</v>
      </c>
      <c r="AB366" s="1" t="s">
        <v>65</v>
      </c>
      <c r="AC366" s="15">
        <v>177517</v>
      </c>
      <c r="AD366" s="15">
        <v>5955535</v>
      </c>
      <c r="AE366" s="18" t="s">
        <v>1071</v>
      </c>
    </row>
    <row r="367" spans="1:31">
      <c r="A367" s="1" t="s">
        <v>882</v>
      </c>
      <c r="C367" s="24">
        <v>223004</v>
      </c>
      <c r="D367" s="1" t="s">
        <v>27</v>
      </c>
      <c r="E367" s="1">
        <v>1.92</v>
      </c>
      <c r="F367" s="1">
        <v>4.99</v>
      </c>
      <c r="G367" s="9">
        <v>-3.9868300000000002E-2</v>
      </c>
      <c r="H367" s="9">
        <v>30.1293671</v>
      </c>
      <c r="I367" s="1" t="s">
        <v>550</v>
      </c>
      <c r="J367" s="1" t="s">
        <v>187</v>
      </c>
      <c r="K367" s="1">
        <v>1706</v>
      </c>
      <c r="L367" s="1">
        <v>1402</v>
      </c>
      <c r="M367" s="1">
        <f t="shared" si="36"/>
        <v>1554</v>
      </c>
      <c r="N367" s="4">
        <f t="shared" si="33"/>
        <v>0.82180539273153574</v>
      </c>
      <c r="O367" s="4">
        <f t="shared" si="37"/>
        <v>0.83994972776982979</v>
      </c>
      <c r="P367" s="4">
        <f t="shared" si="38"/>
        <v>0.96896926436317954</v>
      </c>
      <c r="Q367" s="1" t="s">
        <v>932</v>
      </c>
      <c r="R367" s="1" t="s">
        <v>48</v>
      </c>
      <c r="S367" s="24" t="s">
        <v>674</v>
      </c>
      <c r="V367" s="1" t="s">
        <v>695</v>
      </c>
      <c r="AB367" s="1" t="s">
        <v>65</v>
      </c>
      <c r="AC367" s="15">
        <v>177517</v>
      </c>
      <c r="AD367" s="15">
        <v>5955535</v>
      </c>
      <c r="AE367" s="18" t="s">
        <v>1071</v>
      </c>
    </row>
    <row r="368" spans="1:31">
      <c r="A368" s="1" t="s">
        <v>964</v>
      </c>
      <c r="C368" s="24">
        <v>223004</v>
      </c>
      <c r="D368" s="1" t="s">
        <v>27</v>
      </c>
      <c r="E368" s="1">
        <v>1.28</v>
      </c>
      <c r="F368" s="1">
        <v>4.32</v>
      </c>
      <c r="G368" s="9">
        <v>-0.2318838</v>
      </c>
      <c r="H368" s="9">
        <v>30.1593868</v>
      </c>
      <c r="I368" s="1" t="s">
        <v>550</v>
      </c>
      <c r="J368" s="1" t="s">
        <v>187</v>
      </c>
      <c r="K368" s="1">
        <v>1646</v>
      </c>
      <c r="L368" s="1">
        <v>1110</v>
      </c>
      <c r="M368" s="1">
        <f t="shared" si="36"/>
        <v>1378</v>
      </c>
      <c r="N368" s="4">
        <f t="shared" si="33"/>
        <v>0.67436208991494528</v>
      </c>
      <c r="O368" s="4">
        <f t="shared" si="37"/>
        <v>0.60153434197450883</v>
      </c>
      <c r="P368" s="4">
        <f t="shared" si="38"/>
        <v>0.86189098863917502</v>
      </c>
      <c r="Q368" s="1" t="s">
        <v>932</v>
      </c>
      <c r="R368" s="1" t="s">
        <v>48</v>
      </c>
      <c r="S368" s="24" t="s">
        <v>674</v>
      </c>
      <c r="V368" s="1" t="s">
        <v>695</v>
      </c>
      <c r="AB368" s="1" t="s">
        <v>65</v>
      </c>
      <c r="AC368" s="15">
        <v>177517</v>
      </c>
      <c r="AD368" s="15">
        <v>5955535</v>
      </c>
      <c r="AE368" s="18" t="s">
        <v>1071</v>
      </c>
    </row>
    <row r="369" spans="1:31">
      <c r="A369" s="24" t="s">
        <v>965</v>
      </c>
      <c r="C369" s="24">
        <v>223004</v>
      </c>
      <c r="D369" s="1" t="s">
        <v>27</v>
      </c>
      <c r="E369" s="1">
        <v>0.92</v>
      </c>
      <c r="F369" s="1">
        <v>3.55</v>
      </c>
      <c r="G369" s="9">
        <v>-0.19445589999999999</v>
      </c>
      <c r="H369" s="9">
        <v>30.1880971</v>
      </c>
      <c r="I369" s="1" t="s">
        <v>550</v>
      </c>
      <c r="J369" s="1" t="s">
        <v>187</v>
      </c>
      <c r="K369" s="1">
        <v>1237</v>
      </c>
      <c r="L369" s="1">
        <v>945</v>
      </c>
      <c r="M369" s="1">
        <f t="shared" si="36"/>
        <v>1091</v>
      </c>
      <c r="N369" s="4">
        <f t="shared" si="33"/>
        <v>0.76394502829426025</v>
      </c>
      <c r="O369" s="4">
        <f t="shared" si="37"/>
        <v>0.76552353443073906</v>
      </c>
      <c r="P369" s="4">
        <f t="shared" si="38"/>
        <v>0.91736250467847191</v>
      </c>
      <c r="Q369" s="1" t="s">
        <v>932</v>
      </c>
      <c r="R369" s="1" t="s">
        <v>48</v>
      </c>
      <c r="S369" s="24" t="s">
        <v>674</v>
      </c>
      <c r="V369" s="1" t="s">
        <v>695</v>
      </c>
      <c r="AB369" s="1" t="s">
        <v>65</v>
      </c>
      <c r="AC369" s="15">
        <v>177517</v>
      </c>
      <c r="AD369" s="15">
        <v>5955535</v>
      </c>
      <c r="AE369" s="18" t="s">
        <v>1071</v>
      </c>
    </row>
    <row r="370" spans="1:31">
      <c r="A370" s="24" t="s">
        <v>883</v>
      </c>
      <c r="C370" s="24">
        <v>223004</v>
      </c>
      <c r="D370" s="1" t="s">
        <v>27</v>
      </c>
      <c r="E370" s="1">
        <v>1.51</v>
      </c>
      <c r="F370" s="1">
        <v>4.3899999999999997</v>
      </c>
      <c r="G370" s="9">
        <v>-0.17507020000000001</v>
      </c>
      <c r="H370" s="9">
        <v>30.1562354</v>
      </c>
      <c r="I370" s="1" t="s">
        <v>550</v>
      </c>
      <c r="J370" s="1" t="s">
        <v>187</v>
      </c>
      <c r="K370" s="1">
        <v>1664</v>
      </c>
      <c r="L370" s="1">
        <v>1119</v>
      </c>
      <c r="M370" s="1">
        <f t="shared" si="36"/>
        <v>1391.5</v>
      </c>
      <c r="N370" s="4">
        <f t="shared" si="33"/>
        <v>0.67247596153846156</v>
      </c>
      <c r="O370" s="4">
        <f t="shared" si="37"/>
        <v>0.69435316911508993</v>
      </c>
      <c r="P370" s="4">
        <f t="shared" si="38"/>
        <v>0.98459532835977148</v>
      </c>
      <c r="Q370" s="1" t="s">
        <v>932</v>
      </c>
      <c r="R370" s="1" t="s">
        <v>48</v>
      </c>
      <c r="S370" s="24" t="s">
        <v>674</v>
      </c>
      <c r="V370" s="1" t="s">
        <v>695</v>
      </c>
      <c r="AB370" s="1" t="s">
        <v>65</v>
      </c>
      <c r="AC370" s="15">
        <v>177517</v>
      </c>
      <c r="AD370" s="15">
        <v>5955535</v>
      </c>
      <c r="AE370" s="18" t="s">
        <v>1071</v>
      </c>
    </row>
    <row r="371" spans="1:31">
      <c r="A371" s="24" t="s">
        <v>884</v>
      </c>
      <c r="C371" s="24">
        <v>223004</v>
      </c>
      <c r="D371" s="1" t="s">
        <v>27</v>
      </c>
      <c r="E371" s="1">
        <v>1.1399999999999999</v>
      </c>
      <c r="F371" s="1">
        <v>3.93</v>
      </c>
      <c r="G371" s="9">
        <v>-0.15469379999999999</v>
      </c>
      <c r="H371" s="9">
        <v>30.1425032</v>
      </c>
      <c r="I371" s="1" t="s">
        <v>550</v>
      </c>
      <c r="J371" s="1" t="s">
        <v>187</v>
      </c>
      <c r="K371" s="1">
        <v>1320</v>
      </c>
      <c r="L371" s="1">
        <v>1080</v>
      </c>
      <c r="M371" s="1">
        <f t="shared" si="36"/>
        <v>1200</v>
      </c>
      <c r="N371" s="4">
        <f t="shared" si="33"/>
        <v>0.81818181818181823</v>
      </c>
      <c r="O371" s="4">
        <f t="shared" si="37"/>
        <v>0.83304240185840517</v>
      </c>
      <c r="P371" s="4">
        <f t="shared" si="38"/>
        <v>0.92753352241642562</v>
      </c>
      <c r="Q371" s="1" t="s">
        <v>932</v>
      </c>
      <c r="R371" s="1" t="s">
        <v>48</v>
      </c>
      <c r="S371" s="24" t="s">
        <v>674</v>
      </c>
      <c r="V371" s="1" t="s">
        <v>695</v>
      </c>
      <c r="W371" s="1">
        <v>976</v>
      </c>
      <c r="AB371" s="1" t="s">
        <v>65</v>
      </c>
      <c r="AC371" s="15">
        <v>177517</v>
      </c>
      <c r="AD371" s="15">
        <v>5955535</v>
      </c>
      <c r="AE371" s="18" t="s">
        <v>1075</v>
      </c>
    </row>
    <row r="372" spans="1:31">
      <c r="A372" s="24" t="s">
        <v>885</v>
      </c>
      <c r="C372" s="24">
        <v>223004</v>
      </c>
      <c r="D372" s="1" t="s">
        <v>27</v>
      </c>
      <c r="E372" s="1">
        <v>2.59</v>
      </c>
      <c r="F372" s="1">
        <v>6.62</v>
      </c>
      <c r="G372" s="9">
        <v>-0.1499829</v>
      </c>
      <c r="H372" s="9">
        <v>30.157229999999998</v>
      </c>
      <c r="I372" s="1" t="s">
        <v>550</v>
      </c>
      <c r="J372" s="1" t="s">
        <v>187</v>
      </c>
      <c r="K372" s="1">
        <v>2341</v>
      </c>
      <c r="L372" s="1">
        <v>1640</v>
      </c>
      <c r="M372" s="1">
        <f t="shared" si="36"/>
        <v>1990.5</v>
      </c>
      <c r="N372" s="4">
        <f t="shared" si="33"/>
        <v>0.70055531824006834</v>
      </c>
      <c r="O372" s="4">
        <f t="shared" si="37"/>
        <v>0.60173746945896955</v>
      </c>
      <c r="P372" s="4">
        <f t="shared" si="38"/>
        <v>0.74266618347747504</v>
      </c>
      <c r="Q372" s="1" t="s">
        <v>932</v>
      </c>
      <c r="R372" s="1" t="s">
        <v>48</v>
      </c>
      <c r="S372" s="24" t="s">
        <v>674</v>
      </c>
      <c r="V372" s="1" t="s">
        <v>695</v>
      </c>
      <c r="AB372" s="1" t="s">
        <v>65</v>
      </c>
      <c r="AC372" s="15">
        <v>177517</v>
      </c>
      <c r="AD372" s="15">
        <v>5955535</v>
      </c>
      <c r="AE372" s="18" t="s">
        <v>1071</v>
      </c>
    </row>
    <row r="373" spans="1:31">
      <c r="A373" s="1" t="s">
        <v>886</v>
      </c>
      <c r="C373" s="24">
        <v>223004</v>
      </c>
      <c r="D373" s="1" t="s">
        <v>27</v>
      </c>
      <c r="E373" s="1">
        <v>0.7</v>
      </c>
      <c r="F373" s="4">
        <v>2.9969999999999999</v>
      </c>
      <c r="G373" s="9">
        <v>-0.2379964</v>
      </c>
      <c r="H373" s="9">
        <v>30.089172699999999</v>
      </c>
      <c r="I373" s="1" t="s">
        <v>550</v>
      </c>
      <c r="J373" s="1" t="s">
        <v>178</v>
      </c>
      <c r="K373" s="1">
        <v>954</v>
      </c>
      <c r="L373" s="1">
        <v>941</v>
      </c>
      <c r="M373" s="14">
        <f t="shared" si="36"/>
        <v>947.5</v>
      </c>
      <c r="N373" s="4">
        <f t="shared" si="33"/>
        <v>0.98637316561844868</v>
      </c>
      <c r="O373" s="4">
        <f t="shared" si="37"/>
        <v>0.97929020181450932</v>
      </c>
      <c r="P373" s="4">
        <f t="shared" si="38"/>
        <v>0.97934208594663175</v>
      </c>
      <c r="Q373" s="1" t="s">
        <v>932</v>
      </c>
      <c r="R373" s="1" t="s">
        <v>48</v>
      </c>
      <c r="S373" s="24" t="s">
        <v>674</v>
      </c>
      <c r="V373" s="1" t="s">
        <v>695</v>
      </c>
      <c r="AB373" s="1" t="s">
        <v>65</v>
      </c>
      <c r="AC373" s="15">
        <v>177517</v>
      </c>
      <c r="AD373" s="15">
        <v>5955535</v>
      </c>
      <c r="AE373" s="18" t="s">
        <v>1071</v>
      </c>
    </row>
    <row r="374" spans="1:31">
      <c r="A374" s="1" t="s">
        <v>887</v>
      </c>
      <c r="C374" s="24">
        <v>223004</v>
      </c>
      <c r="D374" s="1" t="s">
        <v>27</v>
      </c>
      <c r="E374" s="1">
        <v>0.85</v>
      </c>
      <c r="F374" s="1">
        <v>3.56</v>
      </c>
      <c r="G374" s="9">
        <v>-0.25204840000000001</v>
      </c>
      <c r="H374" s="9">
        <v>30.077254400000001</v>
      </c>
      <c r="I374" s="1" t="s">
        <v>550</v>
      </c>
      <c r="J374" s="1" t="s">
        <v>178</v>
      </c>
      <c r="K374" s="1">
        <v>1367</v>
      </c>
      <c r="L374" s="1">
        <v>727</v>
      </c>
      <c r="M374" s="14">
        <f t="shared" si="36"/>
        <v>1047</v>
      </c>
      <c r="N374" s="4">
        <f t="shared" si="33"/>
        <v>0.53182150694952446</v>
      </c>
      <c r="O374" s="4">
        <f t="shared" si="37"/>
        <v>0.57915127291105595</v>
      </c>
      <c r="P374" s="4">
        <f t="shared" si="38"/>
        <v>0.84280828037852695</v>
      </c>
      <c r="Q374" s="1" t="s">
        <v>932</v>
      </c>
      <c r="R374" s="1" t="s">
        <v>48</v>
      </c>
      <c r="S374" s="24" t="s">
        <v>674</v>
      </c>
      <c r="V374" s="1" t="s">
        <v>695</v>
      </c>
      <c r="AB374" s="1" t="s">
        <v>48</v>
      </c>
      <c r="AC374" s="15">
        <v>177517</v>
      </c>
      <c r="AD374" s="15">
        <v>5955535</v>
      </c>
      <c r="AE374" s="18" t="s">
        <v>1071</v>
      </c>
    </row>
    <row r="375" spans="1:31">
      <c r="A375" s="1" t="s">
        <v>888</v>
      </c>
      <c r="C375" s="24">
        <v>223004</v>
      </c>
      <c r="D375" s="1" t="s">
        <v>27</v>
      </c>
      <c r="E375" s="1">
        <v>1.1399999999999999</v>
      </c>
      <c r="F375" s="1">
        <v>4.76</v>
      </c>
      <c r="G375" s="9">
        <v>-0.24361540000000001</v>
      </c>
      <c r="H375" s="9">
        <v>30.1182239</v>
      </c>
      <c r="I375" s="1" t="s">
        <v>550</v>
      </c>
      <c r="J375" s="1" t="s">
        <v>187</v>
      </c>
      <c r="K375" s="1">
        <v>1684</v>
      </c>
      <c r="L375" s="1">
        <v>627</v>
      </c>
      <c r="M375" s="14">
        <f t="shared" si="36"/>
        <v>1155.5</v>
      </c>
      <c r="N375" s="4">
        <f t="shared" si="33"/>
        <v>0.37232779097387175</v>
      </c>
      <c r="O375" s="4">
        <f t="shared" si="37"/>
        <v>0.51183596099311313</v>
      </c>
      <c r="P375" s="4">
        <f t="shared" si="38"/>
        <v>0.63226742904674171</v>
      </c>
      <c r="Q375" s="1" t="s">
        <v>932</v>
      </c>
      <c r="R375" s="1" t="s">
        <v>48</v>
      </c>
      <c r="S375" s="24" t="s">
        <v>674</v>
      </c>
      <c r="V375" s="1" t="s">
        <v>695</v>
      </c>
      <c r="AB375" s="1" t="s">
        <v>48</v>
      </c>
      <c r="AC375" s="15">
        <v>177517</v>
      </c>
      <c r="AD375" s="15">
        <v>5955535</v>
      </c>
      <c r="AE375" s="18" t="s">
        <v>1071</v>
      </c>
    </row>
    <row r="376" spans="1:31">
      <c r="A376" s="1" t="s">
        <v>889</v>
      </c>
      <c r="C376" s="24">
        <v>223004</v>
      </c>
      <c r="D376" s="1" t="s">
        <v>27</v>
      </c>
      <c r="E376" s="1">
        <v>0.31</v>
      </c>
      <c r="F376" s="1">
        <v>2</v>
      </c>
      <c r="G376" s="9">
        <v>-0.20951600000000001</v>
      </c>
      <c r="H376" s="9">
        <v>30.148194400000001</v>
      </c>
      <c r="I376" s="1" t="s">
        <v>550</v>
      </c>
      <c r="J376" s="1" t="s">
        <v>178</v>
      </c>
      <c r="K376" s="1">
        <v>681</v>
      </c>
      <c r="L376" s="1">
        <v>595</v>
      </c>
      <c r="M376" s="14">
        <f t="shared" si="36"/>
        <v>638</v>
      </c>
      <c r="N376" s="4">
        <f t="shared" si="33"/>
        <v>0.87371512481644642</v>
      </c>
      <c r="O376" s="4">
        <f t="shared" si="37"/>
        <v>0.8510941171592703</v>
      </c>
      <c r="P376" s="4">
        <f t="shared" si="38"/>
        <v>0.9738937226128358</v>
      </c>
      <c r="Q376" s="1" t="s">
        <v>932</v>
      </c>
      <c r="R376" s="1" t="s">
        <v>48</v>
      </c>
      <c r="S376" s="24" t="s">
        <v>674</v>
      </c>
      <c r="V376" s="1" t="s">
        <v>695</v>
      </c>
      <c r="AB376" s="1" t="s">
        <v>65</v>
      </c>
      <c r="AC376" s="15">
        <v>177517</v>
      </c>
      <c r="AD376" s="15">
        <v>5955535</v>
      </c>
      <c r="AE376" s="18" t="s">
        <v>1071</v>
      </c>
    </row>
    <row r="377" spans="1:31">
      <c r="A377" s="1" t="s">
        <v>890</v>
      </c>
      <c r="C377" s="24">
        <v>223004</v>
      </c>
      <c r="D377" s="1" t="s">
        <v>27</v>
      </c>
      <c r="E377" s="1">
        <v>0.57999999999999996</v>
      </c>
      <c r="F377" s="1">
        <v>2.83</v>
      </c>
      <c r="G377" s="9">
        <v>-0.21276310000000001</v>
      </c>
      <c r="H377" s="9">
        <v>30.138487000000001</v>
      </c>
      <c r="I377" s="1" t="s">
        <v>550</v>
      </c>
      <c r="J377" s="1" t="s">
        <v>178</v>
      </c>
      <c r="K377" s="1">
        <v>904</v>
      </c>
      <c r="L377" s="1">
        <v>797</v>
      </c>
      <c r="M377" s="1">
        <f t="shared" si="36"/>
        <v>850.5</v>
      </c>
      <c r="N377" s="4">
        <f t="shared" si="33"/>
        <v>0.88163716814159288</v>
      </c>
      <c r="O377" s="4">
        <f t="shared" si="37"/>
        <v>0.90365207723098218</v>
      </c>
      <c r="P377" s="4">
        <f t="shared" si="38"/>
        <v>0.91004943953955209</v>
      </c>
      <c r="Q377" s="1" t="s">
        <v>932</v>
      </c>
      <c r="R377" s="1" t="s">
        <v>48</v>
      </c>
      <c r="S377" s="24" t="s">
        <v>674</v>
      </c>
      <c r="V377" s="1" t="s">
        <v>695</v>
      </c>
      <c r="AB377" s="1" t="s">
        <v>65</v>
      </c>
      <c r="AC377" s="15">
        <v>177517</v>
      </c>
      <c r="AD377" s="15">
        <v>5955535</v>
      </c>
      <c r="AE377" s="18" t="s">
        <v>1071</v>
      </c>
    </row>
    <row r="378" spans="1:31">
      <c r="A378" s="1" t="s">
        <v>891</v>
      </c>
      <c r="C378" s="24">
        <v>223004</v>
      </c>
      <c r="D378" s="1" t="s">
        <v>27</v>
      </c>
      <c r="E378" s="1">
        <v>0.09</v>
      </c>
      <c r="F378" s="1">
        <v>1.1000000000000001</v>
      </c>
      <c r="G378" s="9">
        <v>-0.21270559999999999</v>
      </c>
      <c r="H378" s="9">
        <v>30.132429800000001</v>
      </c>
      <c r="I378" s="1" t="s">
        <v>550</v>
      </c>
      <c r="J378" s="1" t="s">
        <v>178</v>
      </c>
      <c r="K378" s="1">
        <v>371</v>
      </c>
      <c r="L378" s="1">
        <v>295</v>
      </c>
      <c r="M378" s="14">
        <f t="shared" si="36"/>
        <v>333</v>
      </c>
      <c r="N378" s="4">
        <f t="shared" si="33"/>
        <v>0.79514824797843664</v>
      </c>
      <c r="O378" s="4">
        <f t="shared" si="37"/>
        <v>0.83253942521606683</v>
      </c>
      <c r="P378" s="4">
        <f t="shared" si="38"/>
        <v>0.93468872338208708</v>
      </c>
      <c r="Q378" s="1" t="s">
        <v>932</v>
      </c>
      <c r="R378" s="1" t="s">
        <v>48</v>
      </c>
      <c r="S378" s="24" t="s">
        <v>674</v>
      </c>
      <c r="V378" s="1" t="s">
        <v>695</v>
      </c>
      <c r="AB378" s="1" t="s">
        <v>65</v>
      </c>
      <c r="AC378" s="15">
        <v>177517</v>
      </c>
      <c r="AD378" s="15">
        <v>5955535</v>
      </c>
      <c r="AE378" s="18" t="s">
        <v>1071</v>
      </c>
    </row>
    <row r="379" spans="1:31">
      <c r="A379" s="1" t="s">
        <v>892</v>
      </c>
      <c r="C379" s="24">
        <v>223004</v>
      </c>
      <c r="D379" s="1" t="s">
        <v>27</v>
      </c>
      <c r="E379" s="1">
        <v>0.43</v>
      </c>
      <c r="F379" s="1">
        <v>2.4500000000000002</v>
      </c>
      <c r="G379" s="9">
        <v>-0.33563799999999999</v>
      </c>
      <c r="H379" s="9">
        <v>30.036598300000001</v>
      </c>
      <c r="I379" s="1" t="s">
        <v>550</v>
      </c>
      <c r="J379" s="1" t="s">
        <v>865</v>
      </c>
      <c r="K379" s="1">
        <v>849</v>
      </c>
      <c r="L379" s="1">
        <v>578</v>
      </c>
      <c r="M379" s="14">
        <f t="shared" si="36"/>
        <v>713.5</v>
      </c>
      <c r="N379" s="4">
        <f t="shared" si="33"/>
        <v>0.68080094228504118</v>
      </c>
      <c r="O379" s="4">
        <f t="shared" si="37"/>
        <v>0.75956193767228408</v>
      </c>
      <c r="P379" s="4">
        <f t="shared" si="38"/>
        <v>0.9002148045271875</v>
      </c>
      <c r="Q379" s="1" t="s">
        <v>932</v>
      </c>
      <c r="R379" s="1" t="s">
        <v>48</v>
      </c>
      <c r="S379" s="1" t="s">
        <v>674</v>
      </c>
      <c r="V379" s="1" t="s">
        <v>695</v>
      </c>
      <c r="AB379" s="1" t="s">
        <v>65</v>
      </c>
      <c r="AC379" s="15">
        <v>177517</v>
      </c>
      <c r="AD379" s="15">
        <v>5955535</v>
      </c>
      <c r="AE379" s="18" t="s">
        <v>1071</v>
      </c>
    </row>
    <row r="380" spans="1:31">
      <c r="A380" s="1" t="s">
        <v>893</v>
      </c>
      <c r="C380" s="1">
        <v>223003</v>
      </c>
      <c r="D380" s="1" t="s">
        <v>27</v>
      </c>
      <c r="E380" s="1">
        <v>0.26</v>
      </c>
      <c r="F380" s="1">
        <v>1.81</v>
      </c>
      <c r="G380" s="9">
        <v>-0.12705040000000001</v>
      </c>
      <c r="H380" s="9">
        <v>29.832967</v>
      </c>
      <c r="I380" s="1" t="s">
        <v>550</v>
      </c>
      <c r="J380" s="1" t="s">
        <v>187</v>
      </c>
      <c r="K380" s="1">
        <v>607</v>
      </c>
      <c r="L380" s="1">
        <v>549</v>
      </c>
      <c r="M380" s="14">
        <f t="shared" si="36"/>
        <v>578</v>
      </c>
      <c r="N380" s="4">
        <f t="shared" si="33"/>
        <v>0.90444810543657328</v>
      </c>
      <c r="O380" s="4">
        <f t="shared" si="37"/>
        <v>0.89847518009586769</v>
      </c>
      <c r="P380" s="4">
        <f t="shared" si="38"/>
        <v>0.99730055850962585</v>
      </c>
      <c r="Q380" s="1" t="s">
        <v>932</v>
      </c>
      <c r="R380" s="1" t="s">
        <v>48</v>
      </c>
      <c r="S380" s="1" t="s">
        <v>551</v>
      </c>
      <c r="V380" s="1" t="s">
        <v>695</v>
      </c>
      <c r="AB380" s="1" t="s">
        <v>65</v>
      </c>
      <c r="AC380" s="15">
        <v>446218</v>
      </c>
      <c r="AD380" s="15">
        <v>6241035</v>
      </c>
      <c r="AE380" s="18" t="s">
        <v>871</v>
      </c>
    </row>
    <row r="381" spans="1:31">
      <c r="A381" s="1" t="s">
        <v>894</v>
      </c>
      <c r="C381" s="1">
        <v>223003</v>
      </c>
      <c r="D381" s="1" t="s">
        <v>27</v>
      </c>
      <c r="E381" s="1">
        <v>0.12</v>
      </c>
      <c r="F381" s="1">
        <v>1.3</v>
      </c>
      <c r="G381" s="9">
        <v>5.0876699999999997E-2</v>
      </c>
      <c r="H381" s="9">
        <v>29.963776299999999</v>
      </c>
      <c r="I381" s="1" t="s">
        <v>550</v>
      </c>
      <c r="J381" s="1" t="s">
        <v>187</v>
      </c>
      <c r="K381" s="1">
        <v>472</v>
      </c>
      <c r="L381" s="1">
        <v>329</v>
      </c>
      <c r="M381" s="14">
        <f t="shared" si="36"/>
        <v>400.5</v>
      </c>
      <c r="N381" s="4">
        <f t="shared" si="33"/>
        <v>0.69703389830508478</v>
      </c>
      <c r="O381" s="4">
        <f t="shared" si="37"/>
        <v>0.68581561228912102</v>
      </c>
      <c r="P381" s="4">
        <f t="shared" si="38"/>
        <v>0.89228667084207136</v>
      </c>
      <c r="Q381" s="1" t="s">
        <v>932</v>
      </c>
      <c r="R381" s="1" t="s">
        <v>48</v>
      </c>
      <c r="S381" s="1" t="s">
        <v>551</v>
      </c>
      <c r="V381" s="1" t="s">
        <v>695</v>
      </c>
      <c r="AB381" s="1" t="s">
        <v>65</v>
      </c>
      <c r="AC381" s="15">
        <v>446218</v>
      </c>
      <c r="AD381" s="15">
        <v>6241035</v>
      </c>
      <c r="AE381" s="18" t="s">
        <v>871</v>
      </c>
    </row>
    <row r="382" spans="1:31">
      <c r="A382" s="1" t="s">
        <v>895</v>
      </c>
      <c r="C382" s="1">
        <v>223002</v>
      </c>
      <c r="D382" s="1" t="s">
        <v>27</v>
      </c>
      <c r="E382" s="1">
        <v>0.37</v>
      </c>
      <c r="F382" s="1">
        <v>2.21</v>
      </c>
      <c r="G382" s="9">
        <v>0.43912780000000001</v>
      </c>
      <c r="H382" s="9">
        <v>30.253340399999999</v>
      </c>
      <c r="I382" s="1" t="s">
        <v>550</v>
      </c>
      <c r="J382" s="1" t="s">
        <v>187</v>
      </c>
      <c r="K382" s="1">
        <v>809</v>
      </c>
      <c r="L382" s="1">
        <v>598</v>
      </c>
      <c r="M382" s="14">
        <f t="shared" si="36"/>
        <v>703.5</v>
      </c>
      <c r="N382" s="4">
        <f t="shared" si="33"/>
        <v>0.73918417799752778</v>
      </c>
      <c r="O382" s="4">
        <f t="shared" si="37"/>
        <v>0.71980490121487128</v>
      </c>
      <c r="P382" s="4">
        <f t="shared" si="38"/>
        <v>0.95197828204027224</v>
      </c>
      <c r="Q382" s="1" t="s">
        <v>932</v>
      </c>
      <c r="R382" s="1" t="s">
        <v>48</v>
      </c>
      <c r="S382" s="1" t="s">
        <v>875</v>
      </c>
      <c r="V382" s="1" t="s">
        <v>695</v>
      </c>
      <c r="AB382" s="1" t="s">
        <v>65</v>
      </c>
      <c r="AC382" s="15">
        <v>271685</v>
      </c>
      <c r="AD382" s="15">
        <v>4350194</v>
      </c>
      <c r="AE382" s="18" t="s">
        <v>947</v>
      </c>
    </row>
    <row r="383" spans="1:31">
      <c r="A383" s="1" t="s">
        <v>961</v>
      </c>
      <c r="C383" s="1">
        <v>223002</v>
      </c>
      <c r="D383" s="1" t="s">
        <v>27</v>
      </c>
      <c r="E383" s="1">
        <v>0.25</v>
      </c>
      <c r="F383" s="1">
        <v>1.85</v>
      </c>
      <c r="G383" s="9">
        <v>0.44994630000000002</v>
      </c>
      <c r="H383" s="9">
        <v>30.240791999999999</v>
      </c>
      <c r="I383" s="1" t="s">
        <v>550</v>
      </c>
      <c r="J383" s="1" t="s">
        <v>187</v>
      </c>
      <c r="K383" s="1">
        <v>619</v>
      </c>
      <c r="L383" s="1">
        <v>540</v>
      </c>
      <c r="M383" s="14">
        <f t="shared" si="36"/>
        <v>579.5</v>
      </c>
      <c r="N383" s="4">
        <f t="shared" si="33"/>
        <v>0.87237479806138929</v>
      </c>
      <c r="O383" s="4">
        <f t="shared" si="37"/>
        <v>0.83074709112824818</v>
      </c>
      <c r="P383" s="4">
        <f t="shared" si="38"/>
        <v>0.91792334655654995</v>
      </c>
      <c r="Q383" s="1" t="s">
        <v>932</v>
      </c>
      <c r="R383" s="1" t="s">
        <v>48</v>
      </c>
      <c r="S383" s="1" t="s">
        <v>875</v>
      </c>
      <c r="V383" s="1" t="s">
        <v>695</v>
      </c>
      <c r="AB383" s="1" t="s">
        <v>65</v>
      </c>
      <c r="AC383" s="15">
        <v>271685</v>
      </c>
      <c r="AD383" s="15">
        <v>4350194</v>
      </c>
      <c r="AE383" s="18" t="s">
        <v>947</v>
      </c>
    </row>
    <row r="384" spans="1:31">
      <c r="A384" s="1" t="s">
        <v>896</v>
      </c>
      <c r="C384" s="1">
        <v>223002</v>
      </c>
      <c r="D384" s="1" t="s">
        <v>27</v>
      </c>
      <c r="E384" s="1">
        <v>9.1999999999999998E-2</v>
      </c>
      <c r="F384" s="1">
        <v>1.0900000000000001</v>
      </c>
      <c r="G384" s="9">
        <v>0.45444069999999998</v>
      </c>
      <c r="H384" s="9">
        <v>30.2432205</v>
      </c>
      <c r="I384" s="1" t="s">
        <v>550</v>
      </c>
      <c r="J384" s="1" t="s">
        <v>865</v>
      </c>
      <c r="K384" s="1">
        <v>359</v>
      </c>
      <c r="L384" s="1">
        <v>337</v>
      </c>
      <c r="M384" s="14">
        <f t="shared" si="36"/>
        <v>348</v>
      </c>
      <c r="N384" s="4">
        <f t="shared" ref="N384:N446" si="39">L384/K384</f>
        <v>0.93871866295264628</v>
      </c>
      <c r="O384" s="4">
        <f t="shared" si="37"/>
        <v>0.90888523611420591</v>
      </c>
      <c r="P384" s="4">
        <f t="shared" si="38"/>
        <v>0.97307137153526091</v>
      </c>
      <c r="Q384" s="1" t="s">
        <v>932</v>
      </c>
      <c r="R384" s="1" t="s">
        <v>48</v>
      </c>
      <c r="S384" s="1" t="s">
        <v>875</v>
      </c>
      <c r="V384" s="1" t="s">
        <v>695</v>
      </c>
      <c r="AB384" s="1" t="s">
        <v>65</v>
      </c>
      <c r="AC384" s="15">
        <v>271685</v>
      </c>
      <c r="AD384" s="15">
        <v>4350194</v>
      </c>
      <c r="AE384" s="18" t="s">
        <v>947</v>
      </c>
    </row>
    <row r="385" spans="1:32">
      <c r="A385" s="1" t="s">
        <v>958</v>
      </c>
      <c r="B385" s="24"/>
      <c r="C385" s="1">
        <v>223002</v>
      </c>
      <c r="D385" s="1" t="s">
        <v>27</v>
      </c>
      <c r="E385" s="1">
        <v>0.35</v>
      </c>
      <c r="F385" s="1">
        <v>2.29</v>
      </c>
      <c r="G385" s="9">
        <v>0.44168479999999999</v>
      </c>
      <c r="H385" s="9">
        <v>30.2667413</v>
      </c>
      <c r="I385" s="1" t="s">
        <v>550</v>
      </c>
      <c r="J385" s="1" t="s">
        <v>187</v>
      </c>
      <c r="K385" s="1">
        <v>758</v>
      </c>
      <c r="L385" s="1">
        <v>615</v>
      </c>
      <c r="M385" s="14">
        <f t="shared" si="36"/>
        <v>686.5</v>
      </c>
      <c r="N385" s="4">
        <f t="shared" si="39"/>
        <v>0.81134564643799467</v>
      </c>
      <c r="O385" s="4">
        <f t="shared" si="37"/>
        <v>0.7756034848290303</v>
      </c>
      <c r="P385" s="4">
        <f t="shared" si="38"/>
        <v>0.83870058065744535</v>
      </c>
      <c r="Q385" s="1" t="s">
        <v>932</v>
      </c>
      <c r="R385" s="1" t="s">
        <v>48</v>
      </c>
      <c r="S385" s="1" t="s">
        <v>875</v>
      </c>
      <c r="V385" s="1" t="s">
        <v>695</v>
      </c>
      <c r="AB385" s="1" t="s">
        <v>65</v>
      </c>
      <c r="AC385" s="15">
        <v>271685</v>
      </c>
      <c r="AD385" s="15">
        <v>4350194</v>
      </c>
      <c r="AE385" s="18" t="s">
        <v>947</v>
      </c>
    </row>
    <row r="386" spans="1:32">
      <c r="A386" s="1" t="s">
        <v>959</v>
      </c>
      <c r="B386" s="24"/>
      <c r="C386" s="1">
        <v>223002</v>
      </c>
      <c r="D386" s="1" t="s">
        <v>27</v>
      </c>
      <c r="E386" s="1">
        <v>0.57999999999999996</v>
      </c>
      <c r="F386" s="1">
        <v>2.8</v>
      </c>
      <c r="G386" s="9">
        <v>0.41038150000000001</v>
      </c>
      <c r="H386" s="9">
        <v>30.2303517</v>
      </c>
      <c r="I386" s="1" t="s">
        <v>550</v>
      </c>
      <c r="J386" s="1" t="s">
        <v>187</v>
      </c>
      <c r="K386" s="1">
        <v>879</v>
      </c>
      <c r="L386" s="1">
        <v>842</v>
      </c>
      <c r="M386" s="14">
        <f t="shared" si="36"/>
        <v>860.5</v>
      </c>
      <c r="N386" s="4">
        <f t="shared" si="39"/>
        <v>0.95790671217292378</v>
      </c>
      <c r="O386" s="4">
        <f t="shared" si="37"/>
        <v>0.95578533361081575</v>
      </c>
      <c r="P386" s="4">
        <f t="shared" si="38"/>
        <v>0.92965496891942867</v>
      </c>
      <c r="Q386" s="1" t="s">
        <v>47</v>
      </c>
      <c r="R386" s="1" t="s">
        <v>48</v>
      </c>
      <c r="S386" s="1" t="s">
        <v>875</v>
      </c>
      <c r="V386" s="1" t="s">
        <v>695</v>
      </c>
      <c r="W386" s="1">
        <v>1158</v>
      </c>
      <c r="AB386" s="1" t="s">
        <v>65</v>
      </c>
      <c r="AC386" s="15">
        <v>271685</v>
      </c>
      <c r="AD386" s="15">
        <v>4350194</v>
      </c>
      <c r="AE386" s="18" t="s">
        <v>957</v>
      </c>
    </row>
    <row r="387" spans="1:32">
      <c r="A387" s="1" t="s">
        <v>953</v>
      </c>
      <c r="B387" s="24"/>
      <c r="C387" s="1">
        <v>223002</v>
      </c>
      <c r="D387" s="1" t="s">
        <v>27</v>
      </c>
      <c r="E387" s="1">
        <v>0.23</v>
      </c>
      <c r="F387" s="1">
        <v>1.79</v>
      </c>
      <c r="G387" s="9">
        <v>0.400669</v>
      </c>
      <c r="H387" s="9">
        <v>30.233923799999999</v>
      </c>
      <c r="I387" s="1" t="s">
        <v>550</v>
      </c>
      <c r="J387" s="1" t="s">
        <v>187</v>
      </c>
      <c r="K387" s="1">
        <v>653</v>
      </c>
      <c r="L387" s="1">
        <v>467</v>
      </c>
      <c r="M387" s="14">
        <f t="shared" si="36"/>
        <v>560</v>
      </c>
      <c r="N387" s="4">
        <f t="shared" si="39"/>
        <v>0.71516079632465546</v>
      </c>
      <c r="O387" s="4">
        <f t="shared" si="37"/>
        <v>0.68677043704304408</v>
      </c>
      <c r="P387" s="4">
        <f t="shared" si="38"/>
        <v>0.90205213361087644</v>
      </c>
      <c r="Q387" s="1" t="s">
        <v>47</v>
      </c>
      <c r="R387" s="1" t="s">
        <v>48</v>
      </c>
      <c r="S387" s="1" t="s">
        <v>875</v>
      </c>
      <c r="V387" s="1" t="s">
        <v>695</v>
      </c>
      <c r="W387" s="1">
        <v>1150</v>
      </c>
      <c r="AB387" s="1" t="s">
        <v>65</v>
      </c>
      <c r="AC387" s="15">
        <v>271685</v>
      </c>
      <c r="AD387" s="15">
        <v>4350194</v>
      </c>
      <c r="AE387" s="18" t="s">
        <v>955</v>
      </c>
    </row>
    <row r="388" spans="1:32">
      <c r="A388" s="1" t="s">
        <v>951</v>
      </c>
      <c r="B388" s="24"/>
      <c r="C388" s="1">
        <v>223002</v>
      </c>
      <c r="D388" s="1" t="s">
        <v>27</v>
      </c>
      <c r="E388" s="1">
        <v>0.05</v>
      </c>
      <c r="F388" s="1">
        <v>0.82</v>
      </c>
      <c r="G388" s="9">
        <v>0.40630820000000001</v>
      </c>
      <c r="H388" s="9">
        <v>30.2361082</v>
      </c>
      <c r="I388" s="1" t="s">
        <v>550</v>
      </c>
      <c r="J388" s="1" t="s">
        <v>187</v>
      </c>
      <c r="K388" s="1">
        <v>289</v>
      </c>
      <c r="L388" s="1">
        <v>242</v>
      </c>
      <c r="M388" s="14">
        <f t="shared" si="36"/>
        <v>265.5</v>
      </c>
      <c r="N388" s="4">
        <f t="shared" si="39"/>
        <v>0.83737024221453282</v>
      </c>
      <c r="O388" s="4">
        <f t="shared" ref="O388:O419" si="40">E388/(PI()*((K388/2000)^2))</f>
        <v>0.76222719120650073</v>
      </c>
      <c r="P388" s="4">
        <f t="shared" ref="P388:P419" si="41">E388/(((F388/(2*PI()))^2)*PI())</f>
        <v>0.93444159833128904</v>
      </c>
      <c r="Q388" s="1" t="s">
        <v>932</v>
      </c>
      <c r="R388" s="1" t="s">
        <v>48</v>
      </c>
      <c r="S388" s="1" t="s">
        <v>875</v>
      </c>
      <c r="V388" s="1" t="s">
        <v>695</v>
      </c>
      <c r="W388" s="1">
        <v>1153</v>
      </c>
      <c r="AB388" s="1" t="s">
        <v>65</v>
      </c>
      <c r="AC388" s="15">
        <v>271685</v>
      </c>
      <c r="AD388" s="15">
        <v>4350194</v>
      </c>
      <c r="AE388" s="18" t="s">
        <v>955</v>
      </c>
    </row>
    <row r="389" spans="1:32">
      <c r="A389" s="1" t="s">
        <v>952</v>
      </c>
      <c r="B389" s="24"/>
      <c r="C389" s="1">
        <v>223002</v>
      </c>
      <c r="D389" s="1" t="s">
        <v>27</v>
      </c>
      <c r="E389" s="1">
        <v>0.16</v>
      </c>
      <c r="F389" s="1">
        <v>1.65</v>
      </c>
      <c r="G389" s="9">
        <v>0.3979123</v>
      </c>
      <c r="H389" s="9">
        <v>30.271351899999999</v>
      </c>
      <c r="I389" s="1" t="s">
        <v>550</v>
      </c>
      <c r="J389" s="1" t="s">
        <v>187</v>
      </c>
      <c r="K389" s="1">
        <v>586</v>
      </c>
      <c r="L389" s="1">
        <v>334</v>
      </c>
      <c r="M389" s="14">
        <f t="shared" si="36"/>
        <v>460</v>
      </c>
      <c r="N389" s="4">
        <f t="shared" si="39"/>
        <v>0.56996587030716728</v>
      </c>
      <c r="O389" s="4">
        <f t="shared" si="40"/>
        <v>0.5932460691377478</v>
      </c>
      <c r="P389" s="4">
        <f t="shared" si="41"/>
        <v>0.73851948514140253</v>
      </c>
      <c r="Q389" s="1" t="s">
        <v>47</v>
      </c>
      <c r="R389" s="1" t="s">
        <v>48</v>
      </c>
      <c r="S389" s="1" t="s">
        <v>875</v>
      </c>
      <c r="V389" s="1" t="s">
        <v>695</v>
      </c>
      <c r="W389" s="1">
        <v>1141</v>
      </c>
      <c r="AB389" s="1" t="s">
        <v>48</v>
      </c>
      <c r="AC389" s="15">
        <v>271685</v>
      </c>
      <c r="AD389" s="15">
        <v>4350194</v>
      </c>
      <c r="AE389" s="18" t="s">
        <v>955</v>
      </c>
    </row>
    <row r="390" spans="1:32">
      <c r="A390" s="1" t="s">
        <v>960</v>
      </c>
      <c r="B390" s="24"/>
      <c r="C390" s="1">
        <v>223002</v>
      </c>
      <c r="D390" s="1" t="s">
        <v>27</v>
      </c>
      <c r="E390" s="1">
        <v>0.05</v>
      </c>
      <c r="F390" s="1">
        <v>0.86</v>
      </c>
      <c r="G390" s="9">
        <v>0.41554390000000002</v>
      </c>
      <c r="H390" s="9">
        <v>30.288304</v>
      </c>
      <c r="I390" s="1" t="s">
        <v>550</v>
      </c>
      <c r="J390" s="1" t="s">
        <v>880</v>
      </c>
      <c r="K390" s="1">
        <v>273</v>
      </c>
      <c r="L390" s="1">
        <v>269</v>
      </c>
      <c r="M390" s="14">
        <f t="shared" si="36"/>
        <v>271</v>
      </c>
      <c r="N390" s="4">
        <f t="shared" si="39"/>
        <v>0.9853479853479854</v>
      </c>
      <c r="O390" s="4">
        <f t="shared" si="40"/>
        <v>0.85419068063113868</v>
      </c>
      <c r="P390" s="4">
        <f t="shared" si="41"/>
        <v>0.84953830545965192</v>
      </c>
      <c r="Q390" s="1" t="s">
        <v>47</v>
      </c>
      <c r="R390" s="1" t="s">
        <v>48</v>
      </c>
      <c r="S390" s="1" t="s">
        <v>875</v>
      </c>
      <c r="V390" s="1" t="s">
        <v>695</v>
      </c>
      <c r="W390" s="1">
        <v>1188</v>
      </c>
      <c r="AB390" s="1" t="s">
        <v>65</v>
      </c>
      <c r="AC390" s="15">
        <v>271685</v>
      </c>
      <c r="AD390" s="15">
        <v>4350194</v>
      </c>
      <c r="AE390" s="18" t="s">
        <v>957</v>
      </c>
    </row>
    <row r="391" spans="1:32">
      <c r="A391" s="1" t="s">
        <v>897</v>
      </c>
      <c r="B391" s="24"/>
      <c r="C391" s="1">
        <v>223002</v>
      </c>
      <c r="D391" s="1" t="s">
        <v>27</v>
      </c>
      <c r="E391" s="1">
        <v>0.28999999999999998</v>
      </c>
      <c r="F391" s="1">
        <v>2.8</v>
      </c>
      <c r="G391" s="9">
        <v>0.42986940000000001</v>
      </c>
      <c r="H391" s="9">
        <v>30.268922799999999</v>
      </c>
      <c r="I391" s="1" t="s">
        <v>550</v>
      </c>
      <c r="J391" s="1" t="s">
        <v>187</v>
      </c>
      <c r="K391" s="1">
        <v>809</v>
      </c>
      <c r="L391" s="1">
        <v>347</v>
      </c>
      <c r="M391" s="14">
        <f t="shared" si="36"/>
        <v>578</v>
      </c>
      <c r="N391" s="4">
        <f t="shared" si="39"/>
        <v>0.42892459826946849</v>
      </c>
      <c r="O391" s="4">
        <f t="shared" si="40"/>
        <v>0.5641714090603045</v>
      </c>
      <c r="P391" s="4">
        <f t="shared" si="41"/>
        <v>0.46482748445971434</v>
      </c>
      <c r="Q391" s="1" t="s">
        <v>47</v>
      </c>
      <c r="R391" s="1" t="s">
        <v>48</v>
      </c>
      <c r="S391" s="1" t="s">
        <v>875</v>
      </c>
      <c r="V391" s="1" t="s">
        <v>695</v>
      </c>
      <c r="AB391" s="1" t="s">
        <v>48</v>
      </c>
      <c r="AC391" s="15">
        <v>271685</v>
      </c>
      <c r="AD391" s="15">
        <v>4350194</v>
      </c>
      <c r="AE391" s="18" t="s">
        <v>947</v>
      </c>
    </row>
    <row r="392" spans="1:32">
      <c r="A392" s="1" t="s">
        <v>898</v>
      </c>
      <c r="B392" s="24"/>
      <c r="C392" s="1">
        <v>223002</v>
      </c>
      <c r="D392" s="1" t="s">
        <v>27</v>
      </c>
      <c r="E392" s="1">
        <v>0.71</v>
      </c>
      <c r="F392" s="1">
        <v>3.78</v>
      </c>
      <c r="G392" s="9">
        <v>0.44796209999999997</v>
      </c>
      <c r="H392" s="9">
        <v>30.272934800000002</v>
      </c>
      <c r="I392" s="1" t="s">
        <v>550</v>
      </c>
      <c r="J392" s="1" t="s">
        <v>187</v>
      </c>
      <c r="K392" s="1">
        <v>1162</v>
      </c>
      <c r="L392" s="1">
        <v>754</v>
      </c>
      <c r="M392" s="14">
        <f t="shared" si="36"/>
        <v>958</v>
      </c>
      <c r="N392" s="4">
        <f t="shared" si="39"/>
        <v>0.64888123924268504</v>
      </c>
      <c r="O392" s="4">
        <f t="shared" si="40"/>
        <v>0.66950867899577082</v>
      </c>
      <c r="P392" s="4">
        <f t="shared" si="41"/>
        <v>0.62443122646307592</v>
      </c>
      <c r="Q392" s="1" t="s">
        <v>47</v>
      </c>
      <c r="R392" s="1" t="s">
        <v>48</v>
      </c>
      <c r="S392" s="1" t="s">
        <v>875</v>
      </c>
      <c r="V392" s="1" t="s">
        <v>695</v>
      </c>
      <c r="AB392" s="1" t="s">
        <v>48</v>
      </c>
      <c r="AC392" s="15">
        <v>271685</v>
      </c>
      <c r="AD392" s="15">
        <v>4350194</v>
      </c>
      <c r="AE392" s="18" t="s">
        <v>956</v>
      </c>
    </row>
    <row r="393" spans="1:32">
      <c r="A393" s="24" t="s">
        <v>899</v>
      </c>
      <c r="B393" s="24"/>
      <c r="C393" s="1">
        <v>223001</v>
      </c>
      <c r="D393" s="1" t="s">
        <v>27</v>
      </c>
      <c r="E393" s="1">
        <v>0.38</v>
      </c>
      <c r="F393" s="1">
        <v>2.29</v>
      </c>
      <c r="G393" s="9">
        <v>0.6813186</v>
      </c>
      <c r="H393" s="9">
        <v>30.235505100000001</v>
      </c>
      <c r="I393" s="1" t="s">
        <v>550</v>
      </c>
      <c r="J393" s="1" t="s">
        <v>187</v>
      </c>
      <c r="K393" s="1">
        <v>833</v>
      </c>
      <c r="L393" s="1">
        <v>565</v>
      </c>
      <c r="M393" s="14">
        <f t="shared" si="36"/>
        <v>699</v>
      </c>
      <c r="N393" s="4">
        <f t="shared" si="39"/>
        <v>0.67827130852340933</v>
      </c>
      <c r="O393" s="4">
        <f t="shared" si="40"/>
        <v>0.69727438682463894</v>
      </c>
      <c r="P393" s="4">
        <f t="shared" si="41"/>
        <v>0.91058920185665504</v>
      </c>
      <c r="Q393" s="1" t="s">
        <v>47</v>
      </c>
      <c r="R393" s="1" t="s">
        <v>31</v>
      </c>
      <c r="S393" s="1" t="s">
        <v>900</v>
      </c>
      <c r="V393" s="1" t="s">
        <v>695</v>
      </c>
      <c r="W393" s="1">
        <v>1556</v>
      </c>
      <c r="AB393" s="1" t="s">
        <v>65</v>
      </c>
      <c r="AC393" s="15">
        <v>242914</v>
      </c>
      <c r="AD393" s="15">
        <v>4167189</v>
      </c>
      <c r="AE393" s="18" t="s">
        <v>956</v>
      </c>
    </row>
    <row r="394" spans="1:32">
      <c r="A394" s="1" t="s">
        <v>901</v>
      </c>
      <c r="B394" s="24"/>
      <c r="C394" s="1">
        <v>223001</v>
      </c>
      <c r="D394" s="1" t="s">
        <v>27</v>
      </c>
      <c r="E394" s="1">
        <v>0.7</v>
      </c>
      <c r="F394" s="1">
        <v>3.75</v>
      </c>
      <c r="G394" s="9">
        <v>0.70192319999999997</v>
      </c>
      <c r="H394" s="9">
        <v>30.298166899999998</v>
      </c>
      <c r="I394" s="1" t="s">
        <v>550</v>
      </c>
      <c r="J394" s="1" t="s">
        <v>187</v>
      </c>
      <c r="K394" s="1">
        <v>1187</v>
      </c>
      <c r="L394" s="1">
        <v>469</v>
      </c>
      <c r="M394" s="1">
        <f t="shared" si="36"/>
        <v>828</v>
      </c>
      <c r="N394" s="4">
        <f t="shared" si="39"/>
        <v>0.39511373209772538</v>
      </c>
      <c r="O394" s="4">
        <f t="shared" si="40"/>
        <v>0.63256727530173751</v>
      </c>
      <c r="P394" s="4">
        <f t="shared" si="41"/>
        <v>0.62552600391476754</v>
      </c>
      <c r="Q394" s="1" t="s">
        <v>47</v>
      </c>
      <c r="R394" s="1" t="s">
        <v>31</v>
      </c>
      <c r="S394" s="1" t="s">
        <v>900</v>
      </c>
      <c r="V394" s="1" t="s">
        <v>695</v>
      </c>
      <c r="W394" s="1">
        <v>1538</v>
      </c>
      <c r="AB394" s="1" t="s">
        <v>65</v>
      </c>
      <c r="AC394" s="15">
        <v>242914</v>
      </c>
      <c r="AD394" s="15">
        <v>4167189</v>
      </c>
      <c r="AE394" s="18" t="s">
        <v>954</v>
      </c>
    </row>
    <row r="395" spans="1:32">
      <c r="A395" s="24" t="s">
        <v>1196</v>
      </c>
      <c r="B395" s="24" t="s">
        <v>968</v>
      </c>
      <c r="C395" s="1">
        <v>263292</v>
      </c>
      <c r="D395" s="1" t="s">
        <v>27</v>
      </c>
      <c r="E395" s="1">
        <v>2.2200000000000002</v>
      </c>
      <c r="F395" s="1">
        <v>6.56</v>
      </c>
      <c r="G395" s="9">
        <v>-7.7283005999999999</v>
      </c>
      <c r="H395" s="9">
        <v>113.0082326</v>
      </c>
      <c r="I395" s="1" t="s">
        <v>379</v>
      </c>
      <c r="J395" s="1" t="s">
        <v>967</v>
      </c>
      <c r="K395" s="1">
        <v>1823</v>
      </c>
      <c r="L395" s="1">
        <v>1529</v>
      </c>
      <c r="M395" s="1">
        <f t="shared" si="36"/>
        <v>1676</v>
      </c>
      <c r="N395" s="4">
        <f t="shared" si="39"/>
        <v>0.83872737246297313</v>
      </c>
      <c r="O395" s="4">
        <f t="shared" si="40"/>
        <v>0.85053023318246912</v>
      </c>
      <c r="P395" s="4">
        <f t="shared" si="41"/>
        <v>0.64826885884233176</v>
      </c>
      <c r="Q395" s="1" t="s">
        <v>30</v>
      </c>
      <c r="R395" s="1" t="s">
        <v>65</v>
      </c>
      <c r="S395" s="1" t="s">
        <v>378</v>
      </c>
      <c r="V395" s="1" t="s">
        <v>902</v>
      </c>
      <c r="W395" s="1">
        <v>17</v>
      </c>
      <c r="AB395" s="1" t="s">
        <v>48</v>
      </c>
      <c r="AC395" s="15">
        <v>2397210</v>
      </c>
      <c r="AD395" s="15">
        <v>22950711</v>
      </c>
      <c r="AE395" s="18" t="s">
        <v>966</v>
      </c>
      <c r="AF395" s="1" t="s">
        <v>1193</v>
      </c>
    </row>
    <row r="396" spans="1:32">
      <c r="A396" s="24" t="s">
        <v>903</v>
      </c>
      <c r="B396" s="24" t="s">
        <v>1018</v>
      </c>
      <c r="D396" s="1" t="s">
        <v>27</v>
      </c>
      <c r="E396" s="1">
        <v>1.32</v>
      </c>
      <c r="F396" s="1">
        <v>4.13</v>
      </c>
      <c r="G396" s="9">
        <v>16.7716064</v>
      </c>
      <c r="H396" s="9">
        <v>-22.902023499999999</v>
      </c>
      <c r="I396" s="1" t="s">
        <v>904</v>
      </c>
      <c r="J396" s="1" t="s">
        <v>905</v>
      </c>
      <c r="K396" s="1">
        <v>1422</v>
      </c>
      <c r="L396" s="1">
        <v>1239</v>
      </c>
      <c r="M396" s="1">
        <f t="shared" si="36"/>
        <v>1330.5</v>
      </c>
      <c r="N396" s="4">
        <f t="shared" si="39"/>
        <v>0.87130801687763715</v>
      </c>
      <c r="O396" s="4">
        <f t="shared" si="40"/>
        <v>0.8311604261002089</v>
      </c>
      <c r="P396" s="4">
        <f t="shared" si="41"/>
        <v>0.97248674794095702</v>
      </c>
      <c r="Q396" s="1" t="s">
        <v>30</v>
      </c>
      <c r="R396" s="1" t="s">
        <v>65</v>
      </c>
      <c r="S396" s="1" t="s">
        <v>907</v>
      </c>
      <c r="V396" s="1" t="s">
        <v>906</v>
      </c>
      <c r="AB396" s="1" t="s">
        <v>65</v>
      </c>
      <c r="AE396" s="18" t="s">
        <v>1019</v>
      </c>
    </row>
    <row r="397" spans="1:32">
      <c r="A397" s="24" t="s">
        <v>909</v>
      </c>
      <c r="B397" s="24"/>
      <c r="C397" s="1">
        <v>233800</v>
      </c>
      <c r="D397" s="1" t="s">
        <v>27</v>
      </c>
      <c r="E397" s="1">
        <v>1</v>
      </c>
      <c r="F397" s="1">
        <v>3.71</v>
      </c>
      <c r="G397" s="9">
        <v>-12.377864199999999</v>
      </c>
      <c r="H397" s="9">
        <v>43.847991</v>
      </c>
      <c r="I397" s="1" t="s">
        <v>910</v>
      </c>
      <c r="J397" s="1" t="s">
        <v>187</v>
      </c>
      <c r="K397" s="1">
        <v>1263</v>
      </c>
      <c r="L397" s="1">
        <v>1187</v>
      </c>
      <c r="M397" s="14">
        <f t="shared" ref="M397:M456" si="42">AVERAGE(K397:L397)</f>
        <v>1225</v>
      </c>
      <c r="N397" s="4">
        <f t="shared" si="39"/>
        <v>0.93982581155977829</v>
      </c>
      <c r="O397" s="4">
        <f t="shared" si="40"/>
        <v>0.79818473449218408</v>
      </c>
      <c r="P397" s="4">
        <f t="shared" si="41"/>
        <v>0.9129816416880997</v>
      </c>
      <c r="Q397" s="1" t="s">
        <v>30</v>
      </c>
      <c r="R397" s="1" t="s">
        <v>65</v>
      </c>
      <c r="S397" s="1" t="s">
        <v>911</v>
      </c>
      <c r="V397" s="1" t="s">
        <v>912</v>
      </c>
      <c r="AB397" s="1" t="s">
        <v>65</v>
      </c>
      <c r="AC397" s="15" t="s">
        <v>36</v>
      </c>
      <c r="AD397" s="15" t="s">
        <v>36</v>
      </c>
      <c r="AE397" s="18" t="s">
        <v>977</v>
      </c>
    </row>
    <row r="398" spans="1:32">
      <c r="A398" s="1" t="s">
        <v>970</v>
      </c>
      <c r="B398" s="24" t="s">
        <v>972</v>
      </c>
      <c r="C398" s="1">
        <v>210040</v>
      </c>
      <c r="D398" s="1" t="s">
        <v>27</v>
      </c>
      <c r="E398" s="1">
        <v>0.81</v>
      </c>
      <c r="F398" s="1">
        <v>3.29</v>
      </c>
      <c r="G398" s="9">
        <v>38.937693299999999</v>
      </c>
      <c r="H398" s="9">
        <v>-4.0527423000000002</v>
      </c>
      <c r="I398" s="1" t="s">
        <v>463</v>
      </c>
      <c r="J398" s="1" t="s">
        <v>698</v>
      </c>
      <c r="K398" s="1">
        <v>1189</v>
      </c>
      <c r="L398" s="1">
        <v>908</v>
      </c>
      <c r="M398" s="14">
        <f t="shared" si="42"/>
        <v>1048.5</v>
      </c>
      <c r="N398" s="4">
        <f t="shared" si="39"/>
        <v>0.76366694701429771</v>
      </c>
      <c r="O398" s="4">
        <f t="shared" si="40"/>
        <v>0.72951030028943598</v>
      </c>
      <c r="P398" s="4">
        <f t="shared" si="41"/>
        <v>0.94037935695632247</v>
      </c>
      <c r="Q398" s="1" t="s">
        <v>47</v>
      </c>
      <c r="R398" s="1" t="s">
        <v>65</v>
      </c>
      <c r="S398" s="1" t="s">
        <v>971</v>
      </c>
      <c r="V398" s="1" t="s">
        <v>51</v>
      </c>
      <c r="W398" s="1">
        <v>638</v>
      </c>
      <c r="AB398" s="1" t="s">
        <v>65</v>
      </c>
      <c r="AC398" s="15">
        <v>197199</v>
      </c>
      <c r="AD398" s="15">
        <v>774386</v>
      </c>
      <c r="AE398" s="18" t="s">
        <v>973</v>
      </c>
    </row>
    <row r="399" spans="1:32" ht="13.15" customHeight="1">
      <c r="A399" s="62" t="s">
        <v>974</v>
      </c>
      <c r="B399" s="24"/>
      <c r="C399" s="1">
        <v>384800</v>
      </c>
      <c r="D399" s="1" t="s">
        <v>27</v>
      </c>
      <c r="E399" s="1">
        <v>1</v>
      </c>
      <c r="F399" s="1">
        <v>3.85</v>
      </c>
      <c r="G399" s="9">
        <v>17.1089096</v>
      </c>
      <c r="H399" s="9">
        <v>-25.063251699999999</v>
      </c>
      <c r="I399" s="1" t="s">
        <v>904</v>
      </c>
      <c r="J399" s="1" t="s">
        <v>29</v>
      </c>
      <c r="K399" s="1">
        <v>1346</v>
      </c>
      <c r="L399" s="1">
        <v>948</v>
      </c>
      <c r="M399" s="1">
        <f t="shared" si="42"/>
        <v>1147</v>
      </c>
      <c r="N399" s="4">
        <f t="shared" si="39"/>
        <v>0.7043090638930164</v>
      </c>
      <c r="O399" s="4">
        <f t="shared" si="40"/>
        <v>0.70278097932300787</v>
      </c>
      <c r="P399" s="4">
        <f t="shared" si="41"/>
        <v>0.84779022528987502</v>
      </c>
      <c r="Q399" s="1" t="s">
        <v>30</v>
      </c>
      <c r="R399" s="1" t="s">
        <v>65</v>
      </c>
      <c r="S399" s="1" t="s">
        <v>907</v>
      </c>
      <c r="V399" s="1" t="s">
        <v>976</v>
      </c>
      <c r="W399" s="1">
        <v>1170</v>
      </c>
      <c r="AB399" s="1" t="s">
        <v>65</v>
      </c>
      <c r="AC399" s="15" t="s">
        <v>36</v>
      </c>
      <c r="AD399" s="15" t="s">
        <v>36</v>
      </c>
      <c r="AE399" s="18" t="s">
        <v>975</v>
      </c>
    </row>
    <row r="400" spans="1:32">
      <c r="A400" s="1" t="s">
        <v>978</v>
      </c>
      <c r="B400" s="24"/>
      <c r="C400" s="1">
        <v>233800</v>
      </c>
      <c r="D400" s="1" t="s">
        <v>27</v>
      </c>
      <c r="E400" s="1">
        <v>0.14000000000000001</v>
      </c>
      <c r="F400" s="1">
        <v>1.37</v>
      </c>
      <c r="G400" s="9">
        <v>-12.374184899999999</v>
      </c>
      <c r="H400" s="9">
        <v>43.8289148</v>
      </c>
      <c r="I400" s="1" t="s">
        <v>910</v>
      </c>
      <c r="J400" s="1" t="s">
        <v>187</v>
      </c>
      <c r="K400" s="1">
        <v>503</v>
      </c>
      <c r="L400" s="1">
        <v>345</v>
      </c>
      <c r="M400" s="14">
        <f t="shared" si="42"/>
        <v>424</v>
      </c>
      <c r="N400" s="4">
        <f t="shared" si="39"/>
        <v>0.68588469184890655</v>
      </c>
      <c r="O400" s="4">
        <f t="shared" si="40"/>
        <v>0.7045343693818118</v>
      </c>
      <c r="P400" s="4">
        <f t="shared" si="41"/>
        <v>0.93733916884771917</v>
      </c>
      <c r="Q400" s="1" t="s">
        <v>30</v>
      </c>
      <c r="R400" s="1" t="s">
        <v>31</v>
      </c>
      <c r="S400" s="1" t="s">
        <v>911</v>
      </c>
      <c r="V400" s="1" t="s">
        <v>912</v>
      </c>
      <c r="AB400" s="1" t="s">
        <v>65</v>
      </c>
      <c r="AC400" s="15" t="s">
        <v>36</v>
      </c>
      <c r="AD400" s="15" t="s">
        <v>36</v>
      </c>
      <c r="AE400" s="18" t="s">
        <v>977</v>
      </c>
    </row>
    <row r="401" spans="1:32">
      <c r="A401" s="1" t="s">
        <v>979</v>
      </c>
      <c r="B401" s="24"/>
      <c r="C401" s="1">
        <v>211809</v>
      </c>
      <c r="D401" s="1" t="s">
        <v>27</v>
      </c>
      <c r="E401" s="1">
        <v>0.38</v>
      </c>
      <c r="F401" s="1">
        <v>2.31</v>
      </c>
      <c r="G401" s="9">
        <v>42.1548084</v>
      </c>
      <c r="H401" s="9">
        <v>12.290262500000001</v>
      </c>
      <c r="I401" s="1" t="s">
        <v>93</v>
      </c>
      <c r="J401" s="1" t="s">
        <v>329</v>
      </c>
      <c r="K401" s="1">
        <v>737</v>
      </c>
      <c r="L401" s="1">
        <v>658</v>
      </c>
      <c r="M401" s="14">
        <f t="shared" si="42"/>
        <v>697.5</v>
      </c>
      <c r="N401" s="4">
        <f t="shared" si="39"/>
        <v>0.89280868385346002</v>
      </c>
      <c r="O401" s="4">
        <f t="shared" si="40"/>
        <v>0.89075596545340729</v>
      </c>
      <c r="P401" s="4">
        <f t="shared" si="41"/>
        <v>0.89488968225042365</v>
      </c>
      <c r="Q401" s="1" t="s">
        <v>30</v>
      </c>
      <c r="R401" s="1" t="s">
        <v>48</v>
      </c>
      <c r="S401" s="14" t="s">
        <v>95</v>
      </c>
      <c r="Z401" s="1" t="s">
        <v>981</v>
      </c>
      <c r="AB401" s="1" t="s">
        <v>65</v>
      </c>
      <c r="AC401" s="15" t="s">
        <v>36</v>
      </c>
      <c r="AD401" s="15" t="s">
        <v>36</v>
      </c>
      <c r="AE401" s="18" t="s">
        <v>986</v>
      </c>
    </row>
    <row r="402" spans="1:32">
      <c r="A402" s="1" t="s">
        <v>980</v>
      </c>
      <c r="B402" s="24"/>
      <c r="C402" s="1">
        <v>211809</v>
      </c>
      <c r="D402" s="1" t="s">
        <v>27</v>
      </c>
      <c r="E402" s="1">
        <v>0.52</v>
      </c>
      <c r="F402" s="1">
        <v>2.77</v>
      </c>
      <c r="G402" s="9">
        <v>42.2058027</v>
      </c>
      <c r="H402" s="9">
        <v>12.300949299999999</v>
      </c>
      <c r="I402" s="1" t="s">
        <v>93</v>
      </c>
      <c r="J402" s="1" t="s">
        <v>187</v>
      </c>
      <c r="K402" s="1">
        <v>829</v>
      </c>
      <c r="L402" s="1">
        <v>778</v>
      </c>
      <c r="M402" s="14">
        <f t="shared" si="42"/>
        <v>803.5</v>
      </c>
      <c r="N402" s="4">
        <f t="shared" si="39"/>
        <v>0.93848009650180941</v>
      </c>
      <c r="O402" s="4">
        <f t="shared" si="40"/>
        <v>0.96339502919977826</v>
      </c>
      <c r="P402" s="4">
        <f t="shared" si="41"/>
        <v>0.851635329466925</v>
      </c>
      <c r="Q402" s="1" t="s">
        <v>30</v>
      </c>
      <c r="R402" s="1" t="s">
        <v>48</v>
      </c>
      <c r="S402" s="14" t="s">
        <v>95</v>
      </c>
      <c r="X402" s="1" t="s">
        <v>987</v>
      </c>
      <c r="Z402" s="63" t="s">
        <v>982</v>
      </c>
      <c r="AB402" s="1" t="s">
        <v>65</v>
      </c>
      <c r="AC402" s="15" t="s">
        <v>36</v>
      </c>
      <c r="AD402" s="15" t="s">
        <v>36</v>
      </c>
      <c r="AE402" s="18" t="s">
        <v>986</v>
      </c>
    </row>
    <row r="403" spans="1:32">
      <c r="A403" s="1" t="s">
        <v>1070</v>
      </c>
      <c r="B403" s="24"/>
      <c r="C403" s="1">
        <v>211809</v>
      </c>
      <c r="D403" s="1" t="s">
        <v>27</v>
      </c>
      <c r="E403" s="1">
        <v>0.2</v>
      </c>
      <c r="F403" s="1">
        <v>1.61</v>
      </c>
      <c r="G403" s="9">
        <v>42.131732999999997</v>
      </c>
      <c r="H403" s="9">
        <v>12.340903000000001</v>
      </c>
      <c r="I403" s="1" t="s">
        <v>93</v>
      </c>
      <c r="J403" s="1" t="s">
        <v>329</v>
      </c>
      <c r="K403" s="1">
        <v>534</v>
      </c>
      <c r="L403" s="1">
        <v>492</v>
      </c>
      <c r="M403" s="14">
        <f t="shared" si="42"/>
        <v>513</v>
      </c>
      <c r="N403" s="4">
        <f t="shared" si="39"/>
        <v>0.9213483146067416</v>
      </c>
      <c r="O403" s="4">
        <f t="shared" si="40"/>
        <v>0.89301262798970582</v>
      </c>
      <c r="P403" s="4">
        <f t="shared" si="41"/>
        <v>0.96958995519919522</v>
      </c>
      <c r="Q403" s="1" t="s">
        <v>30</v>
      </c>
      <c r="R403" s="1" t="s">
        <v>48</v>
      </c>
      <c r="S403" s="14" t="s">
        <v>95</v>
      </c>
      <c r="Z403" s="1" t="s">
        <v>983</v>
      </c>
      <c r="AB403" s="1" t="s">
        <v>65</v>
      </c>
      <c r="AC403" s="15" t="s">
        <v>36</v>
      </c>
      <c r="AD403" s="15" t="s">
        <v>36</v>
      </c>
      <c r="AE403" s="18" t="s">
        <v>986</v>
      </c>
    </row>
    <row r="404" spans="1:32">
      <c r="A404" s="1" t="s">
        <v>984</v>
      </c>
      <c r="B404" s="24"/>
      <c r="C404" s="1">
        <v>211809</v>
      </c>
      <c r="D404" s="1" t="s">
        <v>27</v>
      </c>
      <c r="E404" s="1">
        <v>1.92</v>
      </c>
      <c r="F404" s="1">
        <v>5</v>
      </c>
      <c r="G404" s="9">
        <v>42.118777199999997</v>
      </c>
      <c r="H404" s="9">
        <v>12.296283000000001</v>
      </c>
      <c r="I404" s="1" t="s">
        <v>93</v>
      </c>
      <c r="J404" s="1" t="s">
        <v>178</v>
      </c>
      <c r="K404" s="1">
        <v>1680</v>
      </c>
      <c r="L404" s="1">
        <v>1542</v>
      </c>
      <c r="M404" s="14">
        <f t="shared" si="42"/>
        <v>1611</v>
      </c>
      <c r="N404" s="4">
        <f t="shared" si="39"/>
        <v>0.91785714285714282</v>
      </c>
      <c r="O404" s="4">
        <f t="shared" si="40"/>
        <v>0.86614935015997463</v>
      </c>
      <c r="P404" s="4">
        <f t="shared" si="41"/>
        <v>0.96509726318278422</v>
      </c>
      <c r="Q404" s="1" t="s">
        <v>30</v>
      </c>
      <c r="R404" s="1" t="s">
        <v>48</v>
      </c>
      <c r="S404" s="14" t="s">
        <v>95</v>
      </c>
      <c r="Z404" s="1" t="s">
        <v>985</v>
      </c>
      <c r="AB404" s="1" t="s">
        <v>65</v>
      </c>
      <c r="AC404" s="15" t="s">
        <v>36</v>
      </c>
      <c r="AD404" s="15" t="s">
        <v>36</v>
      </c>
      <c r="AE404" s="18" t="s">
        <v>986</v>
      </c>
    </row>
    <row r="405" spans="1:32">
      <c r="A405" s="1" t="s">
        <v>992</v>
      </c>
      <c r="B405" s="24" t="s">
        <v>993</v>
      </c>
      <c r="C405" s="1">
        <v>358080</v>
      </c>
      <c r="D405" s="1" t="s">
        <v>27</v>
      </c>
      <c r="E405" s="1">
        <v>2.92</v>
      </c>
      <c r="F405" s="1">
        <v>6.17</v>
      </c>
      <c r="G405" s="9">
        <v>-51.862119</v>
      </c>
      <c r="H405" s="9">
        <v>-69.729050900000004</v>
      </c>
      <c r="I405" s="1" t="s">
        <v>64</v>
      </c>
      <c r="J405" s="1" t="s">
        <v>29</v>
      </c>
      <c r="K405" s="1">
        <v>2120</v>
      </c>
      <c r="L405" s="1">
        <v>1836</v>
      </c>
      <c r="M405" s="14">
        <f t="shared" si="42"/>
        <v>1978</v>
      </c>
      <c r="N405" s="4">
        <f t="shared" si="39"/>
        <v>0.86603773584905663</v>
      </c>
      <c r="O405" s="4">
        <f t="shared" si="40"/>
        <v>0.82722042333274182</v>
      </c>
      <c r="P405" s="4">
        <f t="shared" si="41"/>
        <v>0.96387870923322672</v>
      </c>
      <c r="Q405" s="1" t="s">
        <v>47</v>
      </c>
      <c r="R405" s="1" t="s">
        <v>48</v>
      </c>
      <c r="S405" s="1" t="s">
        <v>132</v>
      </c>
      <c r="V405" s="1" t="s">
        <v>991</v>
      </c>
      <c r="AB405" s="1" t="s">
        <v>65</v>
      </c>
      <c r="AC405" s="15">
        <v>288</v>
      </c>
      <c r="AD405" s="15">
        <v>95765</v>
      </c>
      <c r="AE405" s="18" t="s">
        <v>994</v>
      </c>
    </row>
    <row r="406" spans="1:32">
      <c r="A406" s="1" t="s">
        <v>995</v>
      </c>
      <c r="B406" s="24" t="s">
        <v>996</v>
      </c>
      <c r="C406" s="1">
        <v>223030</v>
      </c>
      <c r="D406" s="1" t="s">
        <v>27</v>
      </c>
      <c r="E406" s="1">
        <v>0.48</v>
      </c>
      <c r="F406" s="1">
        <v>2.57</v>
      </c>
      <c r="G406" s="9">
        <v>-1.6131711</v>
      </c>
      <c r="H406" s="9">
        <v>29.1343368</v>
      </c>
      <c r="I406" s="1" t="s">
        <v>997</v>
      </c>
      <c r="J406" s="1" t="s">
        <v>187</v>
      </c>
      <c r="K406" s="1">
        <v>865</v>
      </c>
      <c r="L406" s="1">
        <v>665</v>
      </c>
      <c r="M406" s="14">
        <f t="shared" si="42"/>
        <v>765</v>
      </c>
      <c r="N406" s="4">
        <f t="shared" si="39"/>
        <v>0.76878612716763006</v>
      </c>
      <c r="O406" s="4">
        <f t="shared" si="40"/>
        <v>0.81680641715109492</v>
      </c>
      <c r="P406" s="4">
        <f t="shared" si="41"/>
        <v>0.91323985145761533</v>
      </c>
      <c r="Q406" s="1" t="s">
        <v>30</v>
      </c>
      <c r="R406" s="1" t="s">
        <v>65</v>
      </c>
      <c r="S406" s="64" t="s">
        <v>998</v>
      </c>
      <c r="V406" s="1" t="s">
        <v>772</v>
      </c>
      <c r="AB406" s="1" t="s">
        <v>65</v>
      </c>
      <c r="AC406" s="15">
        <v>2416</v>
      </c>
      <c r="AD406" s="15">
        <v>9087529</v>
      </c>
      <c r="AE406" s="18" t="s">
        <v>999</v>
      </c>
    </row>
    <row r="407" spans="1:32">
      <c r="A407" s="1" t="s">
        <v>1005</v>
      </c>
      <c r="B407" s="24"/>
      <c r="C407" s="1">
        <v>358080</v>
      </c>
      <c r="D407" s="1" t="s">
        <v>27</v>
      </c>
      <c r="E407" s="1">
        <v>2.94</v>
      </c>
      <c r="F407" s="1">
        <v>6.22</v>
      </c>
      <c r="G407" s="9">
        <v>-51.899923600000001</v>
      </c>
      <c r="H407" s="9">
        <v>-70.290749399999996</v>
      </c>
      <c r="I407" s="1" t="s">
        <v>64</v>
      </c>
      <c r="J407" s="1" t="s">
        <v>1006</v>
      </c>
      <c r="K407" s="1">
        <v>2127</v>
      </c>
      <c r="L407" s="1">
        <v>1733</v>
      </c>
      <c r="M407" s="14">
        <f t="shared" si="42"/>
        <v>1930</v>
      </c>
      <c r="N407" s="4">
        <f t="shared" si="39"/>
        <v>0.81476257639868355</v>
      </c>
      <c r="O407" s="4">
        <f t="shared" si="40"/>
        <v>0.82741324606822197</v>
      </c>
      <c r="P407" s="4">
        <f t="shared" si="41"/>
        <v>0.95494074725798872</v>
      </c>
      <c r="Q407" s="1" t="s">
        <v>47</v>
      </c>
      <c r="R407" s="1" t="s">
        <v>48</v>
      </c>
      <c r="S407" s="14" t="s">
        <v>132</v>
      </c>
      <c r="V407" s="1" t="s">
        <v>51</v>
      </c>
      <c r="AB407" s="1" t="s">
        <v>65</v>
      </c>
      <c r="AC407" s="15">
        <v>288</v>
      </c>
      <c r="AD407" s="15">
        <v>95765</v>
      </c>
      <c r="AE407" s="1" t="s">
        <v>1007</v>
      </c>
    </row>
    <row r="408" spans="1:32">
      <c r="A408" s="24" t="s">
        <v>735</v>
      </c>
      <c r="B408" s="24"/>
      <c r="C408" s="1">
        <v>222170</v>
      </c>
      <c r="D408" s="1" t="s">
        <v>27</v>
      </c>
      <c r="E408" s="1">
        <v>0.38</v>
      </c>
      <c r="F408" s="1">
        <v>2.2400000000000002</v>
      </c>
      <c r="G408" s="9">
        <v>-9.3156812999999996</v>
      </c>
      <c r="H408" s="9">
        <v>33.851993100000001</v>
      </c>
      <c r="I408" s="1" t="s">
        <v>149</v>
      </c>
      <c r="J408" s="1" t="s">
        <v>178</v>
      </c>
      <c r="K408" s="1">
        <v>799</v>
      </c>
      <c r="L408" s="1">
        <v>627</v>
      </c>
      <c r="M408" s="14">
        <f t="shared" si="42"/>
        <v>713</v>
      </c>
      <c r="N408" s="4">
        <f t="shared" si="39"/>
        <v>0.78473091364205261</v>
      </c>
      <c r="O408" s="4">
        <f t="shared" si="40"/>
        <v>0.75787949423538148</v>
      </c>
      <c r="P408" s="4">
        <f t="shared" si="41"/>
        <v>0.95169420309639741</v>
      </c>
      <c r="Q408" s="1" t="s">
        <v>30</v>
      </c>
      <c r="R408" s="1" t="s">
        <v>48</v>
      </c>
      <c r="S408" s="1" t="s">
        <v>540</v>
      </c>
      <c r="V408" s="1" t="s">
        <v>772</v>
      </c>
      <c r="AB408" s="1" t="s">
        <v>65</v>
      </c>
      <c r="AC408" s="15">
        <v>644</v>
      </c>
      <c r="AD408" s="15">
        <v>2299914</v>
      </c>
      <c r="AE408" s="18" t="s">
        <v>1023</v>
      </c>
    </row>
    <row r="409" spans="1:32">
      <c r="A409" s="1" t="s">
        <v>1024</v>
      </c>
      <c r="B409" s="24"/>
      <c r="C409" s="1">
        <v>225006</v>
      </c>
      <c r="D409" s="1" t="s">
        <v>27</v>
      </c>
      <c r="E409" s="1">
        <v>0.94</v>
      </c>
      <c r="F409" s="1">
        <v>4</v>
      </c>
      <c r="G409" s="9">
        <v>23.920152900000001</v>
      </c>
      <c r="H409" s="9">
        <v>5.8202745</v>
      </c>
      <c r="I409" s="1" t="s">
        <v>1025</v>
      </c>
      <c r="J409" s="1" t="s">
        <v>29</v>
      </c>
      <c r="K409" s="1">
        <v>1441</v>
      </c>
      <c r="L409" s="1">
        <v>734</v>
      </c>
      <c r="M409" s="14">
        <f t="shared" si="42"/>
        <v>1087.5</v>
      </c>
      <c r="N409" s="4">
        <f t="shared" si="39"/>
        <v>0.50936849410131857</v>
      </c>
      <c r="O409" s="4">
        <f t="shared" si="40"/>
        <v>0.5763814704064486</v>
      </c>
      <c r="P409" s="4">
        <f t="shared" si="41"/>
        <v>0.73827427359360132</v>
      </c>
      <c r="Q409" s="1" t="s">
        <v>47</v>
      </c>
      <c r="R409" s="1" t="s">
        <v>65</v>
      </c>
      <c r="S409" s="1" t="s">
        <v>1026</v>
      </c>
      <c r="V409" s="1" t="s">
        <v>51</v>
      </c>
      <c r="AB409" s="1" t="s">
        <v>48</v>
      </c>
      <c r="AC409" s="15">
        <v>1196</v>
      </c>
      <c r="AD409" s="15">
        <v>5278</v>
      </c>
      <c r="AE409" s="18" t="s">
        <v>1167</v>
      </c>
    </row>
    <row r="410" spans="1:32">
      <c r="A410" s="1" t="s">
        <v>1036</v>
      </c>
      <c r="B410" s="65" t="s">
        <v>132</v>
      </c>
      <c r="C410" s="1">
        <v>358080</v>
      </c>
      <c r="D410" s="1" t="s">
        <v>27</v>
      </c>
      <c r="E410" s="1">
        <v>0.4</v>
      </c>
      <c r="F410" s="1">
        <v>2.73</v>
      </c>
      <c r="G410" s="9">
        <v>-52.1467563</v>
      </c>
      <c r="H410" s="9">
        <v>-69.945361800000001</v>
      </c>
      <c r="I410" s="1" t="s">
        <v>39</v>
      </c>
      <c r="J410" s="1" t="s">
        <v>29</v>
      </c>
      <c r="K410" s="1">
        <v>1040</v>
      </c>
      <c r="L410" s="1">
        <v>479</v>
      </c>
      <c r="M410" s="14">
        <f t="shared" si="42"/>
        <v>759.5</v>
      </c>
      <c r="N410" s="4">
        <f t="shared" si="39"/>
        <v>0.46057692307692305</v>
      </c>
      <c r="O410" s="4">
        <f t="shared" si="40"/>
        <v>0.47087261269791514</v>
      </c>
      <c r="P410" s="4">
        <f t="shared" si="41"/>
        <v>0.67444192807412817</v>
      </c>
      <c r="Q410" s="1" t="s">
        <v>47</v>
      </c>
      <c r="R410" s="1" t="s">
        <v>48</v>
      </c>
      <c r="S410" s="1" t="s">
        <v>132</v>
      </c>
      <c r="V410" s="1" t="s">
        <v>34</v>
      </c>
      <c r="AB410" s="1" t="s">
        <v>48</v>
      </c>
      <c r="AC410" s="15">
        <v>288</v>
      </c>
      <c r="AD410" s="15">
        <v>95765</v>
      </c>
      <c r="AE410" s="18" t="s">
        <v>384</v>
      </c>
    </row>
    <row r="411" spans="1:32">
      <c r="A411" s="1" t="s">
        <v>1037</v>
      </c>
      <c r="B411" s="65" t="s">
        <v>132</v>
      </c>
      <c r="C411" s="1">
        <v>358080</v>
      </c>
      <c r="D411" s="1" t="s">
        <v>27</v>
      </c>
      <c r="E411" s="1">
        <v>1.1599999999999999</v>
      </c>
      <c r="F411" s="1">
        <v>3.86</v>
      </c>
      <c r="G411" s="9">
        <v>-52.029396699999999</v>
      </c>
      <c r="H411" s="9">
        <v>-70.084676999999999</v>
      </c>
      <c r="I411" s="1" t="s">
        <v>39</v>
      </c>
      <c r="J411" s="1" t="s">
        <v>1006</v>
      </c>
      <c r="K411" s="1">
        <v>1277</v>
      </c>
      <c r="L411" s="1">
        <v>1167</v>
      </c>
      <c r="M411" s="14">
        <f t="shared" si="42"/>
        <v>1222</v>
      </c>
      <c r="N411" s="4">
        <f t="shared" si="39"/>
        <v>0.91386061080657788</v>
      </c>
      <c r="O411" s="4">
        <f t="shared" si="40"/>
        <v>0.90570405744473093</v>
      </c>
      <c r="P411" s="4">
        <f t="shared" si="41"/>
        <v>0.97834773501682182</v>
      </c>
      <c r="Q411" s="1" t="s">
        <v>47</v>
      </c>
      <c r="R411" s="1" t="s">
        <v>48</v>
      </c>
      <c r="S411" s="1" t="s">
        <v>132</v>
      </c>
      <c r="V411" s="1" t="s">
        <v>34</v>
      </c>
      <c r="AB411" s="1" t="s">
        <v>65</v>
      </c>
      <c r="AC411" s="15">
        <v>288</v>
      </c>
      <c r="AD411" s="15">
        <v>95765</v>
      </c>
      <c r="AE411" s="18" t="s">
        <v>384</v>
      </c>
    </row>
    <row r="412" spans="1:32">
      <c r="A412" s="1" t="s">
        <v>1038</v>
      </c>
      <c r="B412" s="24" t="s">
        <v>49</v>
      </c>
      <c r="C412" s="1">
        <v>341092</v>
      </c>
      <c r="D412" s="1" t="s">
        <v>27</v>
      </c>
      <c r="E412" s="1">
        <v>0.38</v>
      </c>
      <c r="F412" s="1">
        <v>2.21</v>
      </c>
      <c r="G412" s="9">
        <v>18.9782364</v>
      </c>
      <c r="H412" s="9">
        <v>-97.374912399999999</v>
      </c>
      <c r="I412" s="1" t="s">
        <v>45</v>
      </c>
      <c r="J412" s="1" t="s">
        <v>29</v>
      </c>
      <c r="K412" s="1">
        <v>722</v>
      </c>
      <c r="L412" s="1">
        <v>703</v>
      </c>
      <c r="M412" s="14">
        <f t="shared" si="42"/>
        <v>712.5</v>
      </c>
      <c r="N412" s="4">
        <f t="shared" si="39"/>
        <v>0.97368421052631582</v>
      </c>
      <c r="O412" s="4">
        <f t="shared" si="40"/>
        <v>0.92815246007811847</v>
      </c>
      <c r="P412" s="4">
        <f t="shared" si="41"/>
        <v>0.97770742479811745</v>
      </c>
      <c r="Q412" s="1" t="s">
        <v>47</v>
      </c>
      <c r="R412" s="1" t="s">
        <v>48</v>
      </c>
      <c r="S412" s="1" t="s">
        <v>49</v>
      </c>
      <c r="V412" s="1" t="s">
        <v>51</v>
      </c>
      <c r="AB412" s="1" t="s">
        <v>65</v>
      </c>
      <c r="AC412" s="15">
        <v>93158</v>
      </c>
      <c r="AD412" s="15">
        <v>7672879</v>
      </c>
      <c r="AE412" s="18" t="s">
        <v>43</v>
      </c>
    </row>
    <row r="413" spans="1:32">
      <c r="A413" s="24" t="s">
        <v>1040</v>
      </c>
      <c r="B413" s="24" t="s">
        <v>1041</v>
      </c>
      <c r="C413" s="1">
        <v>221280</v>
      </c>
      <c r="D413" s="1" t="s">
        <v>27</v>
      </c>
      <c r="E413" s="1">
        <v>1.93</v>
      </c>
      <c r="F413" s="1">
        <v>5.51</v>
      </c>
      <c r="G413" s="9">
        <v>7.4020391999999999</v>
      </c>
      <c r="H413" s="9">
        <v>38.421578099999998</v>
      </c>
      <c r="I413" s="1" t="s">
        <v>276</v>
      </c>
      <c r="J413" s="1" t="s">
        <v>187</v>
      </c>
      <c r="K413" s="1">
        <v>1819</v>
      </c>
      <c r="L413" s="1">
        <v>1315</v>
      </c>
      <c r="M413" s="1">
        <f t="shared" si="42"/>
        <v>1567</v>
      </c>
      <c r="N413" s="4">
        <f t="shared" si="39"/>
        <v>0.72292468389224851</v>
      </c>
      <c r="O413" s="4">
        <f t="shared" si="40"/>
        <v>0.74268051434928783</v>
      </c>
      <c r="P413" s="4">
        <f t="shared" si="41"/>
        <v>0.79884767460295603</v>
      </c>
      <c r="Q413" s="1" t="s">
        <v>30</v>
      </c>
      <c r="R413" s="1" t="s">
        <v>65</v>
      </c>
      <c r="V413" s="1" t="s">
        <v>938</v>
      </c>
      <c r="AB413" s="1" t="s">
        <v>65</v>
      </c>
      <c r="AC413" s="15">
        <v>148558</v>
      </c>
      <c r="AD413" s="15">
        <v>8808566</v>
      </c>
      <c r="AE413" s="18" t="s">
        <v>1042</v>
      </c>
    </row>
    <row r="414" spans="1:32">
      <c r="A414" s="1" t="s">
        <v>1047</v>
      </c>
      <c r="B414" s="24" t="s">
        <v>1048</v>
      </c>
      <c r="C414" s="1">
        <v>355101</v>
      </c>
      <c r="D414" s="1" t="s">
        <v>27</v>
      </c>
      <c r="E414" s="1">
        <v>0.15</v>
      </c>
      <c r="F414" s="1">
        <v>1.37</v>
      </c>
      <c r="G414" s="9">
        <v>-23.6842562</v>
      </c>
      <c r="H414" s="9">
        <v>-67.601301500000005</v>
      </c>
      <c r="I414" s="1" t="s">
        <v>39</v>
      </c>
      <c r="J414" s="1" t="s">
        <v>29</v>
      </c>
      <c r="K414" s="1">
        <v>462</v>
      </c>
      <c r="L414" s="1">
        <v>403</v>
      </c>
      <c r="M414" s="14">
        <f t="shared" si="42"/>
        <v>432.5</v>
      </c>
      <c r="N414" s="4">
        <f t="shared" si="39"/>
        <v>0.87229437229437234</v>
      </c>
      <c r="O414" s="4">
        <f t="shared" si="40"/>
        <v>0.8947823865288993</v>
      </c>
      <c r="P414" s="4">
        <f t="shared" si="41"/>
        <v>1.004291966622556</v>
      </c>
      <c r="Q414" s="1" t="s">
        <v>30</v>
      </c>
      <c r="R414" s="1" t="s">
        <v>31</v>
      </c>
      <c r="S414" s="1" t="s">
        <v>40</v>
      </c>
      <c r="V414" s="1" t="s">
        <v>1049</v>
      </c>
      <c r="AB414" s="1" t="s">
        <v>65</v>
      </c>
      <c r="AC414" s="15">
        <v>0</v>
      </c>
      <c r="AD414" s="15">
        <v>5798</v>
      </c>
      <c r="AE414" s="18" t="s">
        <v>1050</v>
      </c>
    </row>
    <row r="415" spans="1:32">
      <c r="A415" s="24" t="s">
        <v>1197</v>
      </c>
      <c r="C415" s="1">
        <v>259010</v>
      </c>
      <c r="D415" s="9" t="s">
        <v>27</v>
      </c>
      <c r="E415" s="1">
        <v>0.39</v>
      </c>
      <c r="F415" s="1">
        <v>2.31</v>
      </c>
      <c r="G415" s="9">
        <v>-38.406044399999999</v>
      </c>
      <c r="H415" s="9">
        <v>142.92420609999999</v>
      </c>
      <c r="I415" s="1" t="s">
        <v>360</v>
      </c>
      <c r="J415" s="1" t="s">
        <v>187</v>
      </c>
      <c r="K415" s="1">
        <v>783</v>
      </c>
      <c r="L415" s="1">
        <v>576</v>
      </c>
      <c r="M415" s="1">
        <f t="shared" si="42"/>
        <v>679.5</v>
      </c>
      <c r="N415" s="4">
        <f t="shared" si="39"/>
        <v>0.73563218390804597</v>
      </c>
      <c r="O415" s="4">
        <f t="shared" si="40"/>
        <v>0.80993692995097533</v>
      </c>
      <c r="P415" s="4">
        <f t="shared" si="41"/>
        <v>0.91843941073069801</v>
      </c>
      <c r="Q415" s="1" t="s">
        <v>47</v>
      </c>
      <c r="R415" s="1" t="s">
        <v>48</v>
      </c>
      <c r="S415" s="1" t="s">
        <v>361</v>
      </c>
      <c r="V415" s="1" t="s">
        <v>51</v>
      </c>
      <c r="AB415" s="1" t="s">
        <v>65</v>
      </c>
      <c r="AC415" s="15">
        <v>610361</v>
      </c>
      <c r="AD415" s="15">
        <v>610361</v>
      </c>
      <c r="AE415" s="1" t="s">
        <v>1182</v>
      </c>
      <c r="AF415" s="1" t="s">
        <v>1193</v>
      </c>
    </row>
    <row r="416" spans="1:32">
      <c r="A416" s="24" t="s">
        <v>1076</v>
      </c>
      <c r="B416" s="24" t="s">
        <v>1079</v>
      </c>
      <c r="C416" s="1">
        <v>225021</v>
      </c>
      <c r="D416" s="9" t="s">
        <v>27</v>
      </c>
      <c r="E416" s="1">
        <v>0.27</v>
      </c>
      <c r="F416" s="1">
        <v>1.85</v>
      </c>
      <c r="G416" s="9">
        <v>19.8356466</v>
      </c>
      <c r="H416" s="9">
        <v>18.583577900000002</v>
      </c>
      <c r="I416" s="1" t="s">
        <v>1077</v>
      </c>
      <c r="J416" s="1" t="s">
        <v>29</v>
      </c>
      <c r="K416" s="1">
        <v>600</v>
      </c>
      <c r="L416" s="1">
        <v>570</v>
      </c>
      <c r="M416" s="14">
        <f t="shared" si="42"/>
        <v>585</v>
      </c>
      <c r="N416" s="4">
        <f t="shared" si="39"/>
        <v>0.95</v>
      </c>
      <c r="O416" s="4">
        <f t="shared" si="40"/>
        <v>0.95492965855137213</v>
      </c>
      <c r="P416" s="4">
        <f t="shared" si="41"/>
        <v>0.99135721428107404</v>
      </c>
      <c r="Q416" s="1" t="s">
        <v>30</v>
      </c>
      <c r="R416" s="1" t="s">
        <v>31</v>
      </c>
      <c r="S416" s="24" t="s">
        <v>1079</v>
      </c>
      <c r="V416" s="1" t="s">
        <v>1078</v>
      </c>
      <c r="AB416" s="1" t="s">
        <v>65</v>
      </c>
      <c r="AC416" s="15">
        <v>0</v>
      </c>
      <c r="AD416" s="15">
        <v>1616</v>
      </c>
      <c r="AE416" s="18" t="s">
        <v>43</v>
      </c>
    </row>
    <row r="417" spans="1:31">
      <c r="A417" s="1" t="s">
        <v>1080</v>
      </c>
      <c r="B417" s="24"/>
      <c r="C417" s="1">
        <v>225009</v>
      </c>
      <c r="D417" s="9" t="s">
        <v>27</v>
      </c>
      <c r="E417" s="1">
        <v>0.84</v>
      </c>
      <c r="F417" s="1">
        <v>3.34</v>
      </c>
      <c r="G417" s="9">
        <v>21.344064100000001</v>
      </c>
      <c r="H417" s="9">
        <v>16.253368900000002</v>
      </c>
      <c r="I417" s="1" t="s">
        <v>1077</v>
      </c>
      <c r="J417" s="1" t="s">
        <v>29</v>
      </c>
      <c r="K417" s="1">
        <v>1084</v>
      </c>
      <c r="L417" s="1">
        <v>1003</v>
      </c>
      <c r="M417" s="14">
        <f t="shared" si="42"/>
        <v>1043.5</v>
      </c>
      <c r="N417" s="4">
        <f t="shared" si="39"/>
        <v>0.92527675276752763</v>
      </c>
      <c r="O417" s="4">
        <f t="shared" si="40"/>
        <v>0.91018744432396126</v>
      </c>
      <c r="P417" s="4">
        <f t="shared" si="41"/>
        <v>0.9462289178584482</v>
      </c>
      <c r="Q417" s="1" t="s">
        <v>47</v>
      </c>
      <c r="R417" s="1" t="s">
        <v>31</v>
      </c>
      <c r="S417" s="1" t="s">
        <v>1081</v>
      </c>
      <c r="V417" s="1" t="s">
        <v>1078</v>
      </c>
      <c r="Z417" s="1" t="s">
        <v>1082</v>
      </c>
      <c r="AB417" s="1" t="s">
        <v>65</v>
      </c>
      <c r="AC417" s="15">
        <v>0</v>
      </c>
      <c r="AD417" s="15">
        <v>4088</v>
      </c>
      <c r="AE417" s="18" t="s">
        <v>43</v>
      </c>
    </row>
    <row r="418" spans="1:31">
      <c r="A418" s="1" t="s">
        <v>1086</v>
      </c>
      <c r="B418" s="24" t="s">
        <v>1084</v>
      </c>
      <c r="C418" s="1">
        <v>225050</v>
      </c>
      <c r="D418" s="9" t="s">
        <v>27</v>
      </c>
      <c r="E418" s="1">
        <v>1</v>
      </c>
      <c r="F418" s="1">
        <v>3.63</v>
      </c>
      <c r="G418" s="9">
        <v>15.1307261</v>
      </c>
      <c r="H418" s="9">
        <v>26.171207599999999</v>
      </c>
      <c r="I418" s="1" t="s">
        <v>1077</v>
      </c>
      <c r="J418" s="1" t="s">
        <v>1006</v>
      </c>
      <c r="K418" s="1">
        <v>1232</v>
      </c>
      <c r="L418" s="1">
        <v>1046</v>
      </c>
      <c r="M418" s="14">
        <f t="shared" si="42"/>
        <v>1139</v>
      </c>
      <c r="N418" s="4">
        <f t="shared" si="39"/>
        <v>0.84902597402597402</v>
      </c>
      <c r="O418" s="4">
        <f t="shared" si="40"/>
        <v>0.83885848737084312</v>
      </c>
      <c r="P418" s="4">
        <f t="shared" si="41"/>
        <v>0.95366669052350495</v>
      </c>
      <c r="Q418" s="1" t="s">
        <v>47</v>
      </c>
      <c r="R418" s="1" t="s">
        <v>48</v>
      </c>
      <c r="S418" s="1" t="s">
        <v>1084</v>
      </c>
      <c r="V418" s="1" t="s">
        <v>1078</v>
      </c>
      <c r="X418" s="1">
        <v>150</v>
      </c>
      <c r="Z418" s="1" t="s">
        <v>1094</v>
      </c>
      <c r="AA418" s="1" t="s">
        <v>1093</v>
      </c>
      <c r="AB418" s="1" t="s">
        <v>65</v>
      </c>
      <c r="AC418" s="15">
        <v>5140</v>
      </c>
      <c r="AD418" s="15">
        <v>24193</v>
      </c>
      <c r="AE418" s="18" t="s">
        <v>1091</v>
      </c>
    </row>
    <row r="419" spans="1:31">
      <c r="A419" s="1" t="s">
        <v>1083</v>
      </c>
      <c r="B419" s="24" t="s">
        <v>1084</v>
      </c>
      <c r="C419" s="1">
        <v>225050</v>
      </c>
      <c r="D419" s="9" t="s">
        <v>27</v>
      </c>
      <c r="E419" s="1">
        <v>1.75</v>
      </c>
      <c r="F419" s="1">
        <v>4.75</v>
      </c>
      <c r="G419" s="9">
        <v>15.3523377</v>
      </c>
      <c r="H419" s="9">
        <v>26.3616378</v>
      </c>
      <c r="I419" s="1" t="s">
        <v>1089</v>
      </c>
      <c r="J419" s="1" t="s">
        <v>29</v>
      </c>
      <c r="K419" s="1">
        <v>1523</v>
      </c>
      <c r="L419" s="14">
        <v>1480</v>
      </c>
      <c r="M419" s="14">
        <f t="shared" si="42"/>
        <v>1501.5</v>
      </c>
      <c r="N419" s="4">
        <f t="shared" si="39"/>
        <v>0.97176625082074852</v>
      </c>
      <c r="O419" s="4">
        <f t="shared" si="40"/>
        <v>0.96061278099413072</v>
      </c>
      <c r="P419" s="4">
        <f t="shared" si="41"/>
        <v>0.97467694515805225</v>
      </c>
      <c r="Q419" s="1" t="s">
        <v>47</v>
      </c>
      <c r="R419" s="1" t="s">
        <v>48</v>
      </c>
      <c r="S419" s="1" t="s">
        <v>1084</v>
      </c>
      <c r="V419" s="1" t="s">
        <v>1078</v>
      </c>
      <c r="Z419" s="1" t="s">
        <v>1096</v>
      </c>
      <c r="AA419" s="1" t="s">
        <v>1095</v>
      </c>
      <c r="AB419" s="1" t="s">
        <v>65</v>
      </c>
      <c r="AC419" s="15">
        <v>5140</v>
      </c>
      <c r="AD419" s="15">
        <v>24193</v>
      </c>
      <c r="AE419" s="18" t="s">
        <v>1092</v>
      </c>
    </row>
    <row r="420" spans="1:31">
      <c r="A420" s="1" t="s">
        <v>1085</v>
      </c>
      <c r="B420" s="24" t="s">
        <v>1084</v>
      </c>
      <c r="C420" s="1">
        <v>225050</v>
      </c>
      <c r="D420" s="9" t="s">
        <v>27</v>
      </c>
      <c r="E420" s="1">
        <v>1.76</v>
      </c>
      <c r="F420" s="1">
        <v>5.0999999999999996</v>
      </c>
      <c r="G420" s="9">
        <v>15.3490117</v>
      </c>
      <c r="H420" s="9">
        <v>26.399744599999998</v>
      </c>
      <c r="I420" s="1" t="s">
        <v>1089</v>
      </c>
      <c r="J420" s="1" t="s">
        <v>29</v>
      </c>
      <c r="K420" s="1">
        <v>1902</v>
      </c>
      <c r="L420" s="14">
        <v>1253</v>
      </c>
      <c r="M420" s="14">
        <f t="shared" si="42"/>
        <v>1577.5</v>
      </c>
      <c r="N420" s="4">
        <f t="shared" si="39"/>
        <v>0.65878023133543639</v>
      </c>
      <c r="O420" s="4">
        <f t="shared" ref="O420:O456" si="43">E420/(PI()*((K420/2000)^2))</f>
        <v>0.61944358717368919</v>
      </c>
      <c r="P420" s="4">
        <f t="shared" ref="P420:P456" si="44">E420/(((F420/(2*PI()))^2)*PI())</f>
        <v>0.85031958021038623</v>
      </c>
      <c r="Q420" s="1" t="s">
        <v>47</v>
      </c>
      <c r="R420" s="1" t="s">
        <v>48</v>
      </c>
      <c r="S420" s="1" t="s">
        <v>1084</v>
      </c>
      <c r="V420" s="1" t="s">
        <v>1078</v>
      </c>
      <c r="Z420" s="1" t="s">
        <v>1096</v>
      </c>
      <c r="AA420" s="1" t="s">
        <v>1095</v>
      </c>
      <c r="AB420" s="1" t="s">
        <v>65</v>
      </c>
      <c r="AC420" s="15">
        <v>5140</v>
      </c>
      <c r="AD420" s="15">
        <v>24193</v>
      </c>
      <c r="AE420" s="18" t="s">
        <v>1092</v>
      </c>
    </row>
    <row r="421" spans="1:31">
      <c r="A421" s="1" t="s">
        <v>1087</v>
      </c>
      <c r="B421" s="24" t="s">
        <v>1084</v>
      </c>
      <c r="C421" s="1">
        <v>225050</v>
      </c>
      <c r="D421" s="1" t="s">
        <v>27</v>
      </c>
      <c r="E421" s="1">
        <v>0.75</v>
      </c>
      <c r="F421" s="1">
        <v>3.25</v>
      </c>
      <c r="G421" s="9">
        <v>15.2892194</v>
      </c>
      <c r="H421" s="9">
        <v>26.5577401</v>
      </c>
      <c r="I421" s="1" t="s">
        <v>1089</v>
      </c>
      <c r="J421" s="1" t="s">
        <v>29</v>
      </c>
      <c r="K421" s="1">
        <v>1107</v>
      </c>
      <c r="L421" s="1">
        <v>886</v>
      </c>
      <c r="M421" s="14">
        <f t="shared" si="42"/>
        <v>996.5</v>
      </c>
      <c r="N421" s="4">
        <f t="shared" si="39"/>
        <v>0.80036133694670275</v>
      </c>
      <c r="O421" s="4">
        <f t="shared" si="43"/>
        <v>0.77924879660546631</v>
      </c>
      <c r="P421" s="4">
        <f t="shared" si="44"/>
        <v>0.89228667084207147</v>
      </c>
      <c r="Q421" s="1" t="s">
        <v>47</v>
      </c>
      <c r="R421" s="1" t="s">
        <v>48</v>
      </c>
      <c r="S421" s="1" t="s">
        <v>1084</v>
      </c>
      <c r="V421" s="1" t="s">
        <v>1078</v>
      </c>
      <c r="Z421" s="1" t="s">
        <v>1096</v>
      </c>
      <c r="AA421" s="1" t="s">
        <v>1095</v>
      </c>
      <c r="AB421" s="1" t="s">
        <v>65</v>
      </c>
      <c r="AC421" s="15">
        <v>5140</v>
      </c>
      <c r="AD421" s="15">
        <v>24193</v>
      </c>
      <c r="AE421" s="18" t="s">
        <v>1092</v>
      </c>
    </row>
    <row r="422" spans="1:31">
      <c r="A422" s="1" t="s">
        <v>1088</v>
      </c>
      <c r="B422" s="1" t="s">
        <v>1084</v>
      </c>
      <c r="C422" s="1">
        <v>225050</v>
      </c>
      <c r="D422" s="1" t="s">
        <v>27</v>
      </c>
      <c r="E422" s="1">
        <v>0.12</v>
      </c>
      <c r="F422" s="1">
        <v>1.25</v>
      </c>
      <c r="G422" s="9">
        <v>15.329863700000001</v>
      </c>
      <c r="H422" s="9">
        <v>26.599763500000002</v>
      </c>
      <c r="I422" s="1" t="s">
        <v>1089</v>
      </c>
      <c r="J422" s="1" t="s">
        <v>29</v>
      </c>
      <c r="K422" s="1">
        <v>416</v>
      </c>
      <c r="L422" s="1">
        <v>375</v>
      </c>
      <c r="M422" s="14">
        <f t="shared" si="42"/>
        <v>395.5</v>
      </c>
      <c r="N422" s="4">
        <f t="shared" si="39"/>
        <v>0.90144230769230771</v>
      </c>
      <c r="O422" s="4">
        <f t="shared" si="43"/>
        <v>0.88288614880859118</v>
      </c>
      <c r="P422" s="4">
        <f t="shared" si="44"/>
        <v>0.96509726318278422</v>
      </c>
      <c r="Q422" s="1" t="s">
        <v>47</v>
      </c>
      <c r="R422" s="1" t="s">
        <v>48</v>
      </c>
      <c r="S422" s="1" t="s">
        <v>1084</v>
      </c>
      <c r="V422" s="1" t="s">
        <v>1078</v>
      </c>
      <c r="Z422" s="1" t="s">
        <v>1096</v>
      </c>
      <c r="AA422" s="1" t="s">
        <v>1095</v>
      </c>
      <c r="AB422" s="1" t="s">
        <v>65</v>
      </c>
      <c r="AC422" s="15">
        <v>5140</v>
      </c>
      <c r="AD422" s="15">
        <v>24193</v>
      </c>
      <c r="AE422" s="18" t="s">
        <v>1092</v>
      </c>
    </row>
    <row r="423" spans="1:31">
      <c r="A423" s="1" t="s">
        <v>1090</v>
      </c>
      <c r="B423" s="1" t="s">
        <v>1084</v>
      </c>
      <c r="C423" s="1">
        <v>225050</v>
      </c>
      <c r="D423" s="1" t="s">
        <v>27</v>
      </c>
      <c r="E423" s="1">
        <v>4.0999999999999996</v>
      </c>
      <c r="F423" s="1">
        <v>7.49</v>
      </c>
      <c r="G423" s="9">
        <v>15.3134237</v>
      </c>
      <c r="H423" s="9">
        <v>26.535081999999999</v>
      </c>
      <c r="I423" s="1" t="s">
        <v>1089</v>
      </c>
      <c r="J423" s="1" t="s">
        <v>29</v>
      </c>
      <c r="K423" s="1">
        <v>2400</v>
      </c>
      <c r="L423" s="1">
        <v>2266</v>
      </c>
      <c r="M423" s="14">
        <f t="shared" si="42"/>
        <v>2333</v>
      </c>
      <c r="N423" s="4">
        <f t="shared" si="39"/>
        <v>0.94416666666666671</v>
      </c>
      <c r="O423" s="4">
        <f t="shared" si="43"/>
        <v>0.90629898149551502</v>
      </c>
      <c r="P423" s="4">
        <f t="shared" si="44"/>
        <v>0.91839621531641824</v>
      </c>
      <c r="Q423" s="1" t="s">
        <v>47</v>
      </c>
      <c r="R423" s="1" t="s">
        <v>48</v>
      </c>
      <c r="S423" s="1" t="s">
        <v>1084</v>
      </c>
      <c r="V423" s="1" t="s">
        <v>1078</v>
      </c>
      <c r="Z423" s="1" t="s">
        <v>1096</v>
      </c>
      <c r="AA423" s="1" t="s">
        <v>1095</v>
      </c>
      <c r="AB423" s="1" t="s">
        <v>48</v>
      </c>
      <c r="AC423" s="15">
        <v>5140</v>
      </c>
      <c r="AD423" s="15">
        <v>24193</v>
      </c>
      <c r="AE423" s="18" t="s">
        <v>1092</v>
      </c>
    </row>
    <row r="424" spans="1:31">
      <c r="A424" s="1" t="s">
        <v>1097</v>
      </c>
      <c r="B424" s="9" t="s">
        <v>1098</v>
      </c>
      <c r="C424" s="1">
        <v>225010</v>
      </c>
      <c r="D424" s="1" t="s">
        <v>27</v>
      </c>
      <c r="E424" s="1">
        <v>1.94</v>
      </c>
      <c r="F424" s="1">
        <v>5</v>
      </c>
      <c r="G424" s="9">
        <v>21.0276225</v>
      </c>
      <c r="H424" s="9">
        <v>16.612989500000001</v>
      </c>
      <c r="I424" s="1" t="s">
        <v>1077</v>
      </c>
      <c r="J424" s="1" t="s">
        <v>29</v>
      </c>
      <c r="K424" s="1">
        <v>1747</v>
      </c>
      <c r="L424" s="1">
        <v>1403</v>
      </c>
      <c r="M424" s="14">
        <f t="shared" si="42"/>
        <v>1575</v>
      </c>
      <c r="N424" s="4">
        <f t="shared" si="39"/>
        <v>0.80309101316542642</v>
      </c>
      <c r="O424" s="4">
        <f t="shared" si="43"/>
        <v>0.80933074469512212</v>
      </c>
      <c r="P424" s="4">
        <f t="shared" si="44"/>
        <v>0.97515035967427155</v>
      </c>
      <c r="Q424" s="1" t="s">
        <v>30</v>
      </c>
      <c r="R424" s="1" t="s">
        <v>65</v>
      </c>
      <c r="S424" s="1" t="s">
        <v>1098</v>
      </c>
      <c r="V424" s="1" t="s">
        <v>1078</v>
      </c>
      <c r="AB424" s="1" t="s">
        <v>65</v>
      </c>
      <c r="AC424" s="15">
        <v>0</v>
      </c>
      <c r="AD424" s="15">
        <v>5038</v>
      </c>
      <c r="AE424" s="18" t="s">
        <v>43</v>
      </c>
    </row>
    <row r="425" spans="1:31">
      <c r="A425" s="1" t="s">
        <v>1099</v>
      </c>
      <c r="B425" s="1" t="s">
        <v>1100</v>
      </c>
      <c r="C425" s="1">
        <v>225060</v>
      </c>
      <c r="D425" s="1" t="s">
        <v>27</v>
      </c>
      <c r="E425" s="1">
        <v>1.2</v>
      </c>
      <c r="F425" s="1">
        <v>4.0199999999999996</v>
      </c>
      <c r="G425" s="9">
        <v>18.406837800000002</v>
      </c>
      <c r="H425" s="9">
        <v>32.592530699999998</v>
      </c>
      <c r="I425" s="1" t="s">
        <v>1089</v>
      </c>
      <c r="J425" s="1" t="s">
        <v>29</v>
      </c>
      <c r="K425" s="1">
        <v>1342</v>
      </c>
      <c r="L425" s="1">
        <v>1203</v>
      </c>
      <c r="M425" s="14">
        <f t="shared" si="42"/>
        <v>1272.5</v>
      </c>
      <c r="N425" s="4">
        <f t="shared" si="39"/>
        <v>0.89642324888226532</v>
      </c>
      <c r="O425" s="4">
        <f t="shared" si="43"/>
        <v>0.84837201281213559</v>
      </c>
      <c r="P425" s="4">
        <f t="shared" si="44"/>
        <v>0.93312323563965038</v>
      </c>
      <c r="Q425" s="1" t="s">
        <v>47</v>
      </c>
      <c r="R425" s="1" t="s">
        <v>31</v>
      </c>
      <c r="S425" s="1" t="s">
        <v>1100</v>
      </c>
      <c r="V425" s="1" t="s">
        <v>1078</v>
      </c>
      <c r="AB425" s="1" t="s">
        <v>65</v>
      </c>
      <c r="AC425" s="15">
        <v>1124</v>
      </c>
      <c r="AD425" s="15">
        <v>259325</v>
      </c>
      <c r="AE425" s="18" t="s">
        <v>1101</v>
      </c>
    </row>
    <row r="426" spans="1:31">
      <c r="A426" s="1" t="s">
        <v>1102</v>
      </c>
      <c r="B426" s="1" t="s">
        <v>1100</v>
      </c>
      <c r="C426" s="1">
        <v>225060</v>
      </c>
      <c r="D426" s="1" t="s">
        <v>27</v>
      </c>
      <c r="E426" s="1">
        <v>0.41</v>
      </c>
      <c r="F426" s="1">
        <v>2.31</v>
      </c>
      <c r="G426" s="9">
        <v>18.399126200000001</v>
      </c>
      <c r="H426" s="9">
        <v>32.5410082</v>
      </c>
      <c r="I426" s="1" t="s">
        <v>1089</v>
      </c>
      <c r="J426" s="1" t="s">
        <v>29</v>
      </c>
      <c r="K426" s="1">
        <v>774</v>
      </c>
      <c r="L426" s="1">
        <v>685</v>
      </c>
      <c r="M426" s="1">
        <f t="shared" si="42"/>
        <v>729.5</v>
      </c>
      <c r="N426" s="4">
        <f t="shared" si="39"/>
        <v>0.88501291989664088</v>
      </c>
      <c r="O426" s="4">
        <f t="shared" si="43"/>
        <v>0.87138896123599785</v>
      </c>
      <c r="P426" s="4">
        <f t="shared" si="44"/>
        <v>0.96553886769124653</v>
      </c>
      <c r="Q426" s="1" t="s">
        <v>47</v>
      </c>
      <c r="R426" s="1" t="s">
        <v>31</v>
      </c>
      <c r="S426" s="1" t="s">
        <v>1100</v>
      </c>
      <c r="V426" s="1" t="s">
        <v>1078</v>
      </c>
      <c r="AB426" s="1" t="s">
        <v>65</v>
      </c>
      <c r="AC426" s="15">
        <v>1124</v>
      </c>
      <c r="AD426" s="15">
        <v>259325</v>
      </c>
      <c r="AE426" s="18" t="s">
        <v>1101</v>
      </c>
    </row>
    <row r="427" spans="1:31">
      <c r="A427" s="1" t="s">
        <v>1103</v>
      </c>
      <c r="C427" s="1">
        <v>222050</v>
      </c>
      <c r="D427" s="1" t="s">
        <v>27</v>
      </c>
      <c r="E427" s="1">
        <v>0.3</v>
      </c>
      <c r="F427" s="1">
        <v>2.02</v>
      </c>
      <c r="G427" s="9">
        <v>1.5752474000000001</v>
      </c>
      <c r="H427" s="9">
        <v>37.924954900000003</v>
      </c>
      <c r="I427" s="1" t="s">
        <v>770</v>
      </c>
      <c r="J427" s="1" t="s">
        <v>29</v>
      </c>
      <c r="K427" s="1">
        <v>746</v>
      </c>
      <c r="L427" s="1">
        <v>496</v>
      </c>
      <c r="M427" s="1">
        <f t="shared" si="42"/>
        <v>621</v>
      </c>
      <c r="N427" s="4">
        <f t="shared" si="39"/>
        <v>0.66487935656836461</v>
      </c>
      <c r="O427" s="4">
        <f t="shared" si="43"/>
        <v>0.68636277019986625</v>
      </c>
      <c r="P427" s="4">
        <f t="shared" si="44"/>
        <v>0.92390726014796376</v>
      </c>
      <c r="Q427" s="1" t="s">
        <v>47</v>
      </c>
      <c r="R427" s="1" t="s">
        <v>31</v>
      </c>
      <c r="S427" s="1" t="s">
        <v>1104</v>
      </c>
      <c r="V427" s="1" t="s">
        <v>772</v>
      </c>
      <c r="AB427" s="1" t="s">
        <v>65</v>
      </c>
      <c r="AC427" s="15">
        <v>5211</v>
      </c>
      <c r="AD427" s="15">
        <v>147996</v>
      </c>
      <c r="AE427" s="18" t="s">
        <v>43</v>
      </c>
    </row>
    <row r="428" spans="1:31">
      <c r="A428" s="1" t="s">
        <v>1105</v>
      </c>
      <c r="C428" s="1">
        <v>222050</v>
      </c>
      <c r="D428" s="1" t="s">
        <v>27</v>
      </c>
      <c r="E428" s="1">
        <v>7.1999999999999995E-2</v>
      </c>
      <c r="F428" s="1">
        <v>0.97</v>
      </c>
      <c r="G428" s="9">
        <v>1.5614895</v>
      </c>
      <c r="H428" s="9">
        <v>37.9139044</v>
      </c>
      <c r="I428" s="1" t="s">
        <v>770</v>
      </c>
      <c r="J428" s="1" t="s">
        <v>29</v>
      </c>
      <c r="K428" s="1">
        <v>323</v>
      </c>
      <c r="L428" s="1">
        <v>284</v>
      </c>
      <c r="M428" s="1">
        <f t="shared" si="42"/>
        <v>303.5</v>
      </c>
      <c r="N428" s="4">
        <f t="shared" si="39"/>
        <v>0.87925696594427249</v>
      </c>
      <c r="O428" s="4">
        <f t="shared" si="43"/>
        <v>0.87869381687672377</v>
      </c>
      <c r="P428" s="4">
        <f t="shared" si="44"/>
        <v>0.96160982488453639</v>
      </c>
      <c r="Q428" s="1" t="s">
        <v>47</v>
      </c>
      <c r="R428" s="1" t="s">
        <v>31</v>
      </c>
      <c r="S428" s="1" t="s">
        <v>1104</v>
      </c>
      <c r="V428" s="1" t="s">
        <v>772</v>
      </c>
      <c r="AB428" s="1" t="s">
        <v>65</v>
      </c>
      <c r="AC428" s="15">
        <v>5211</v>
      </c>
      <c r="AD428" s="15">
        <v>147996</v>
      </c>
      <c r="AE428" s="18" t="s">
        <v>43</v>
      </c>
    </row>
    <row r="429" spans="1:31">
      <c r="A429" s="1" t="s">
        <v>1106</v>
      </c>
      <c r="C429" s="1">
        <v>222050</v>
      </c>
      <c r="D429" s="1" t="s">
        <v>27</v>
      </c>
      <c r="E429" s="1">
        <v>0.91</v>
      </c>
      <c r="F429" s="1">
        <v>4.6900000000000004</v>
      </c>
      <c r="G429" s="9">
        <v>1.5503488000000001</v>
      </c>
      <c r="H429" s="9">
        <v>37.910753800000002</v>
      </c>
      <c r="I429" s="1" t="s">
        <v>770</v>
      </c>
      <c r="J429" s="1" t="s">
        <v>29</v>
      </c>
      <c r="K429" s="1">
        <v>1829</v>
      </c>
      <c r="L429" s="1">
        <v>558</v>
      </c>
      <c r="M429" s="1">
        <f t="shared" si="42"/>
        <v>1193.5</v>
      </c>
      <c r="N429" s="4">
        <f t="shared" si="39"/>
        <v>0.30508474576271188</v>
      </c>
      <c r="O429" s="4">
        <f t="shared" si="43"/>
        <v>0.3463571042292613</v>
      </c>
      <c r="P429" s="4">
        <f t="shared" si="44"/>
        <v>0.51988294557066228</v>
      </c>
      <c r="Q429" s="1" t="s">
        <v>47</v>
      </c>
      <c r="R429" s="1" t="s">
        <v>31</v>
      </c>
      <c r="S429" s="1" t="s">
        <v>1104</v>
      </c>
      <c r="V429" s="1" t="s">
        <v>772</v>
      </c>
      <c r="AB429" s="1" t="s">
        <v>48</v>
      </c>
      <c r="AC429" s="15">
        <v>5211</v>
      </c>
      <c r="AD429" s="15">
        <v>147996</v>
      </c>
      <c r="AE429" s="18" t="s">
        <v>43</v>
      </c>
    </row>
    <row r="430" spans="1:31">
      <c r="A430" s="1" t="s">
        <v>1107</v>
      </c>
      <c r="C430" s="1">
        <v>222050</v>
      </c>
      <c r="D430" s="1" t="s">
        <v>27</v>
      </c>
      <c r="E430" s="1">
        <v>0.39</v>
      </c>
      <c r="F430" s="1">
        <v>2.79</v>
      </c>
      <c r="G430" s="9">
        <v>1.6923169</v>
      </c>
      <c r="H430" s="9">
        <v>37.853070199999998</v>
      </c>
      <c r="I430" s="1" t="s">
        <v>770</v>
      </c>
      <c r="J430" s="1" t="s">
        <v>29</v>
      </c>
      <c r="K430" s="1">
        <v>980</v>
      </c>
      <c r="L430" s="1">
        <v>364</v>
      </c>
      <c r="M430" s="14">
        <f t="shared" si="42"/>
        <v>672</v>
      </c>
      <c r="N430" s="4">
        <f t="shared" si="39"/>
        <v>0.37142857142857144</v>
      </c>
      <c r="O430" s="4">
        <f t="shared" si="43"/>
        <v>0.51703813249345432</v>
      </c>
      <c r="P430" s="4">
        <f t="shared" si="44"/>
        <v>0.62960195007773256</v>
      </c>
      <c r="Q430" s="1" t="s">
        <v>47</v>
      </c>
      <c r="R430" s="1" t="s">
        <v>31</v>
      </c>
      <c r="S430" s="1" t="s">
        <v>1104</v>
      </c>
      <c r="V430" s="1" t="s">
        <v>772</v>
      </c>
      <c r="AB430" s="1" t="s">
        <v>48</v>
      </c>
      <c r="AC430" s="15">
        <v>5211</v>
      </c>
      <c r="AD430" s="15">
        <v>147996</v>
      </c>
      <c r="AE430" s="18" t="s">
        <v>43</v>
      </c>
    </row>
    <row r="431" spans="1:31">
      <c r="A431" s="1" t="s">
        <v>1109</v>
      </c>
      <c r="C431" s="1">
        <v>275001</v>
      </c>
      <c r="D431" s="1" t="s">
        <v>27</v>
      </c>
      <c r="E431" s="1">
        <v>1.4999999999999999E-2</v>
      </c>
      <c r="F431" s="1">
        <v>0.45</v>
      </c>
      <c r="G431" s="9">
        <v>19.945773899999999</v>
      </c>
      <c r="H431" s="9">
        <v>110.1876221</v>
      </c>
      <c r="I431" s="1" t="s">
        <v>504</v>
      </c>
      <c r="J431" s="1" t="s">
        <v>329</v>
      </c>
      <c r="K431" s="1">
        <v>147</v>
      </c>
      <c r="L431" s="1">
        <v>135</v>
      </c>
      <c r="M431" s="14">
        <f t="shared" si="42"/>
        <v>141</v>
      </c>
      <c r="N431" s="4">
        <f t="shared" si="39"/>
        <v>0.91836734693877553</v>
      </c>
      <c r="O431" s="4">
        <f t="shared" si="43"/>
        <v>0.88382586751017833</v>
      </c>
      <c r="P431" s="4">
        <f t="shared" si="44"/>
        <v>0.9308422677303092</v>
      </c>
      <c r="Q431" s="1" t="s">
        <v>47</v>
      </c>
      <c r="R431" s="24" t="s">
        <v>31</v>
      </c>
      <c r="S431" s="1" t="s">
        <v>1111</v>
      </c>
      <c r="V431" s="1" t="s">
        <v>1078</v>
      </c>
      <c r="W431" s="1">
        <v>92</v>
      </c>
      <c r="AB431" s="1" t="s">
        <v>65</v>
      </c>
      <c r="AC431" s="15">
        <v>1731229</v>
      </c>
      <c r="AD431" s="15">
        <v>6213231</v>
      </c>
      <c r="AE431" s="18" t="s">
        <v>1166</v>
      </c>
    </row>
    <row r="432" spans="1:31">
      <c r="A432" s="1" t="s">
        <v>1110</v>
      </c>
      <c r="C432" s="1">
        <v>275001</v>
      </c>
      <c r="D432" s="1" t="s">
        <v>27</v>
      </c>
      <c r="E432" s="1">
        <v>0.74</v>
      </c>
      <c r="F432" s="1">
        <v>4.2</v>
      </c>
      <c r="G432" s="9">
        <v>19.842573900000001</v>
      </c>
      <c r="H432" s="9">
        <v>110.2631713</v>
      </c>
      <c r="I432" s="1" t="s">
        <v>504</v>
      </c>
      <c r="J432" s="1" t="s">
        <v>329</v>
      </c>
      <c r="K432" s="1">
        <v>973</v>
      </c>
      <c r="L432" s="1">
        <v>958</v>
      </c>
      <c r="M432" s="14">
        <f t="shared" si="42"/>
        <v>965.5</v>
      </c>
      <c r="N432" s="4">
        <f t="shared" si="39"/>
        <v>0.98458376156217886</v>
      </c>
      <c r="O432" s="4">
        <f t="shared" si="43"/>
        <v>0.99521326916574915</v>
      </c>
      <c r="P432" s="4">
        <f t="shared" si="44"/>
        <v>0.5271606720309403</v>
      </c>
      <c r="Q432" s="1" t="s">
        <v>47</v>
      </c>
      <c r="R432" s="24" t="s">
        <v>31</v>
      </c>
      <c r="S432" s="1" t="s">
        <v>1111</v>
      </c>
      <c r="V432" s="1" t="s">
        <v>1078</v>
      </c>
      <c r="W432" s="1">
        <v>93</v>
      </c>
      <c r="Y432" s="1">
        <v>40</v>
      </c>
      <c r="AB432" s="1" t="s">
        <v>65</v>
      </c>
      <c r="AC432" s="15">
        <v>1731229</v>
      </c>
      <c r="AD432" s="15">
        <v>6213231</v>
      </c>
      <c r="AE432" s="18" t="s">
        <v>1166</v>
      </c>
    </row>
    <row r="433" spans="1:31">
      <c r="A433" s="1" t="s">
        <v>1112</v>
      </c>
      <c r="C433" s="1">
        <v>275001</v>
      </c>
      <c r="D433" s="1" t="s">
        <v>27</v>
      </c>
      <c r="E433" s="1">
        <v>0.04</v>
      </c>
      <c r="F433" s="1">
        <v>0.76</v>
      </c>
      <c r="G433" s="9">
        <v>19.9442989</v>
      </c>
      <c r="H433" s="9">
        <v>110.18955390000001</v>
      </c>
      <c r="I433" s="1" t="s">
        <v>504</v>
      </c>
      <c r="J433" s="1" t="s">
        <v>187</v>
      </c>
      <c r="K433" s="1">
        <v>269</v>
      </c>
      <c r="L433" s="1">
        <v>162</v>
      </c>
      <c r="M433" s="1">
        <f t="shared" si="42"/>
        <v>215.5</v>
      </c>
      <c r="N433" s="4">
        <f t="shared" si="39"/>
        <v>0.60223048327137552</v>
      </c>
      <c r="O433" s="4">
        <f t="shared" si="43"/>
        <v>0.70382639528760671</v>
      </c>
      <c r="P433" s="4">
        <f t="shared" si="44"/>
        <v>0.87024727246254652</v>
      </c>
      <c r="Q433" s="1" t="s">
        <v>47</v>
      </c>
      <c r="R433" s="1" t="s">
        <v>31</v>
      </c>
      <c r="S433" s="1" t="s">
        <v>1111</v>
      </c>
      <c r="V433" s="1" t="s">
        <v>1078</v>
      </c>
      <c r="AB433" s="1" t="s">
        <v>65</v>
      </c>
      <c r="AC433" s="15">
        <v>1731229</v>
      </c>
      <c r="AD433" s="15">
        <v>6213231</v>
      </c>
      <c r="AE433" s="18" t="s">
        <v>1166</v>
      </c>
    </row>
    <row r="434" spans="1:31">
      <c r="A434" s="20" t="s">
        <v>1113</v>
      </c>
      <c r="C434" s="1">
        <v>275010</v>
      </c>
      <c r="D434" s="1" t="s">
        <v>27</v>
      </c>
      <c r="E434" s="1">
        <v>3.35</v>
      </c>
      <c r="F434" s="1">
        <v>6.81</v>
      </c>
      <c r="G434" s="9">
        <v>21.1474622</v>
      </c>
      <c r="H434" s="9">
        <v>110.2809888</v>
      </c>
      <c r="I434" s="1" t="s">
        <v>504</v>
      </c>
      <c r="J434" s="1" t="s">
        <v>187</v>
      </c>
      <c r="K434" s="1">
        <v>2268</v>
      </c>
      <c r="L434" s="1">
        <v>1959</v>
      </c>
      <c r="M434" s="1">
        <f t="shared" si="42"/>
        <v>2113.5</v>
      </c>
      <c r="N434" s="4">
        <f t="shared" si="39"/>
        <v>0.86375661375661372</v>
      </c>
      <c r="O434" s="4">
        <f t="shared" si="43"/>
        <v>0.82921819931296159</v>
      </c>
      <c r="P434" s="4">
        <f t="shared" si="44"/>
        <v>0.90773785544932051</v>
      </c>
      <c r="Q434" s="1" t="s">
        <v>47</v>
      </c>
      <c r="R434" s="1" t="s">
        <v>65</v>
      </c>
      <c r="S434" s="1" t="s">
        <v>1114</v>
      </c>
      <c r="V434" s="1" t="s">
        <v>1078</v>
      </c>
      <c r="AB434" s="1" t="s">
        <v>48</v>
      </c>
      <c r="AC434" s="15">
        <v>3230167</v>
      </c>
      <c r="AD434" s="15">
        <v>7659339</v>
      </c>
      <c r="AE434" s="18" t="s">
        <v>1115</v>
      </c>
    </row>
    <row r="435" spans="1:31">
      <c r="A435" s="1" t="s">
        <v>1116</v>
      </c>
      <c r="C435" s="1">
        <v>275090</v>
      </c>
      <c r="D435" s="1" t="s">
        <v>27</v>
      </c>
      <c r="E435" s="1">
        <v>2.2400000000000002</v>
      </c>
      <c r="F435" s="1">
        <v>5.46</v>
      </c>
      <c r="G435" s="9">
        <v>22.362892599999999</v>
      </c>
      <c r="H435" s="9">
        <v>95.0211963</v>
      </c>
      <c r="I435" s="1" t="s">
        <v>1117</v>
      </c>
      <c r="J435" s="1" t="s">
        <v>187</v>
      </c>
      <c r="K435" s="1">
        <v>1805</v>
      </c>
      <c r="L435" s="1">
        <v>1591</v>
      </c>
      <c r="M435" s="1">
        <f t="shared" si="42"/>
        <v>1698</v>
      </c>
      <c r="N435" s="4">
        <f t="shared" si="39"/>
        <v>0.8814404432132964</v>
      </c>
      <c r="O435" s="4">
        <f t="shared" si="43"/>
        <v>0.87539432024209918</v>
      </c>
      <c r="P435" s="4">
        <f t="shared" si="44"/>
        <v>0.94421869930377944</v>
      </c>
      <c r="Q435" s="1" t="s">
        <v>47</v>
      </c>
      <c r="R435" s="24" t="s">
        <v>48</v>
      </c>
      <c r="S435" s="1" t="s">
        <v>1121</v>
      </c>
      <c r="V435" s="1" t="s">
        <v>1078</v>
      </c>
      <c r="W435" s="1">
        <v>221</v>
      </c>
      <c r="X435" s="1" t="s">
        <v>1120</v>
      </c>
      <c r="Z435" s="1" t="s">
        <v>1119</v>
      </c>
      <c r="AB435" s="1" t="s">
        <v>65</v>
      </c>
      <c r="AC435" s="15">
        <v>564958</v>
      </c>
      <c r="AD435" s="15">
        <v>4549176</v>
      </c>
      <c r="AE435" s="18" t="s">
        <v>1118</v>
      </c>
    </row>
    <row r="436" spans="1:31">
      <c r="A436" s="1" t="s">
        <v>1128</v>
      </c>
      <c r="C436" s="1">
        <v>225004</v>
      </c>
      <c r="D436" s="1" t="s">
        <v>27</v>
      </c>
      <c r="E436" s="1">
        <v>1.1000000000000001</v>
      </c>
      <c r="F436" s="1">
        <v>3.81</v>
      </c>
      <c r="G436" s="9">
        <v>22.878926700000001</v>
      </c>
      <c r="H436" s="9">
        <v>4.4573869000000004</v>
      </c>
      <c r="I436" s="1" t="s">
        <v>1025</v>
      </c>
      <c r="J436" s="1" t="s">
        <v>29</v>
      </c>
      <c r="K436" s="1">
        <v>1321</v>
      </c>
      <c r="L436" s="1">
        <v>1122</v>
      </c>
      <c r="M436" s="1">
        <f t="shared" si="42"/>
        <v>1221.5</v>
      </c>
      <c r="N436" s="4">
        <f t="shared" si="39"/>
        <v>0.84935654806964422</v>
      </c>
      <c r="O436" s="4">
        <f t="shared" si="43"/>
        <v>0.80259632822878046</v>
      </c>
      <c r="P436" s="4">
        <f t="shared" si="44"/>
        <v>0.95225354439519494</v>
      </c>
      <c r="Q436" s="1" t="s">
        <v>47</v>
      </c>
      <c r="R436" s="1" t="s">
        <v>31</v>
      </c>
      <c r="S436" s="1" t="s">
        <v>1127</v>
      </c>
      <c r="V436" s="1" t="s">
        <v>1078</v>
      </c>
      <c r="Z436" s="1" t="s">
        <v>1130</v>
      </c>
      <c r="AA436" s="1" t="s">
        <v>53</v>
      </c>
      <c r="AB436" s="1" t="s">
        <v>65</v>
      </c>
      <c r="AC436" s="15">
        <v>0</v>
      </c>
      <c r="AD436" s="15">
        <v>86063</v>
      </c>
      <c r="AE436" s="18" t="s">
        <v>1129</v>
      </c>
    </row>
    <row r="437" spans="1:31">
      <c r="A437" s="1" t="s">
        <v>1133</v>
      </c>
      <c r="D437" s="1" t="s">
        <v>27</v>
      </c>
      <c r="E437" s="1">
        <v>0.67</v>
      </c>
      <c r="F437" s="1">
        <v>2.93</v>
      </c>
      <c r="G437" s="9">
        <v>10.9135785</v>
      </c>
      <c r="H437" s="9">
        <v>36.966881800000003</v>
      </c>
      <c r="I437" s="1" t="s">
        <v>276</v>
      </c>
      <c r="J437" s="1" t="s">
        <v>187</v>
      </c>
      <c r="K437" s="1">
        <v>1010</v>
      </c>
      <c r="L437" s="1">
        <v>844</v>
      </c>
      <c r="M437" s="1">
        <f t="shared" si="42"/>
        <v>927</v>
      </c>
      <c r="N437" s="4">
        <f t="shared" si="39"/>
        <v>0.83564356435643561</v>
      </c>
      <c r="O437" s="4">
        <f t="shared" si="43"/>
        <v>0.83626163608720616</v>
      </c>
      <c r="P437" s="4">
        <f t="shared" si="44"/>
        <v>0.98072992249422186</v>
      </c>
      <c r="Q437" s="1" t="s">
        <v>30</v>
      </c>
      <c r="R437" s="1" t="s">
        <v>31</v>
      </c>
      <c r="AB437" s="1" t="s">
        <v>65</v>
      </c>
      <c r="AE437" s="18" t="s">
        <v>1131</v>
      </c>
    </row>
    <row r="438" spans="1:31">
      <c r="A438" s="1" t="s">
        <v>1132</v>
      </c>
      <c r="D438" s="1" t="s">
        <v>27</v>
      </c>
      <c r="E438" s="1">
        <v>0.79</v>
      </c>
      <c r="F438" s="1">
        <v>3.22</v>
      </c>
      <c r="G438" s="9">
        <v>10.8297436</v>
      </c>
      <c r="H438" s="9">
        <v>36.8479624</v>
      </c>
      <c r="I438" s="1" t="s">
        <v>276</v>
      </c>
      <c r="J438" s="1" t="s">
        <v>187</v>
      </c>
      <c r="K438" s="1">
        <v>1065</v>
      </c>
      <c r="L438" s="1">
        <v>922</v>
      </c>
      <c r="M438" s="1">
        <f t="shared" si="42"/>
        <v>993.5</v>
      </c>
      <c r="N438" s="4">
        <f t="shared" si="39"/>
        <v>0.86572769953051643</v>
      </c>
      <c r="O438" s="4">
        <f t="shared" si="43"/>
        <v>0.88682513640660254</v>
      </c>
      <c r="P438" s="4">
        <f t="shared" si="44"/>
        <v>0.95747008075920526</v>
      </c>
      <c r="Q438" s="1" t="s">
        <v>30</v>
      </c>
      <c r="R438" s="1" t="s">
        <v>31</v>
      </c>
      <c r="AB438" s="1" t="s">
        <v>65</v>
      </c>
      <c r="AE438" s="18" t="s">
        <v>1131</v>
      </c>
    </row>
    <row r="439" spans="1:31">
      <c r="A439" s="1" t="s">
        <v>1135</v>
      </c>
      <c r="C439" s="1">
        <v>221335</v>
      </c>
      <c r="D439" s="1" t="s">
        <v>27</v>
      </c>
      <c r="E439" s="1">
        <v>2</v>
      </c>
      <c r="F439" s="1">
        <v>5.57</v>
      </c>
      <c r="G439" s="9">
        <v>4.0705155</v>
      </c>
      <c r="H439" s="9">
        <v>37.349992200000003</v>
      </c>
      <c r="I439" s="1" t="s">
        <v>770</v>
      </c>
      <c r="J439" s="1" t="s">
        <v>29</v>
      </c>
      <c r="K439" s="1">
        <v>1910</v>
      </c>
      <c r="L439" s="1">
        <v>1324</v>
      </c>
      <c r="M439" s="1">
        <f t="shared" si="42"/>
        <v>1617</v>
      </c>
      <c r="N439" s="4">
        <f t="shared" si="39"/>
        <v>0.69319371727748691</v>
      </c>
      <c r="O439" s="4">
        <f t="shared" si="43"/>
        <v>0.69802886145399667</v>
      </c>
      <c r="P439" s="4">
        <f t="shared" si="44"/>
        <v>0.8100829085256791</v>
      </c>
      <c r="Q439" s="1" t="s">
        <v>47</v>
      </c>
      <c r="R439" s="1" t="s">
        <v>48</v>
      </c>
      <c r="S439" s="1" t="s">
        <v>1158</v>
      </c>
      <c r="V439" s="1" t="s">
        <v>695</v>
      </c>
      <c r="W439" s="1">
        <v>659</v>
      </c>
      <c r="Z439" s="1" t="s">
        <v>1137</v>
      </c>
      <c r="AB439" s="1" t="s">
        <v>48</v>
      </c>
      <c r="AC439" s="15">
        <v>2815</v>
      </c>
      <c r="AD439" s="15">
        <v>119999</v>
      </c>
      <c r="AE439" s="18" t="s">
        <v>1145</v>
      </c>
    </row>
    <row r="440" spans="1:31">
      <c r="A440" s="1" t="s">
        <v>1138</v>
      </c>
      <c r="C440" s="1">
        <v>221335</v>
      </c>
      <c r="D440" s="1" t="s">
        <v>27</v>
      </c>
      <c r="E440" s="1">
        <v>2.73</v>
      </c>
      <c r="F440" s="1">
        <v>5.98</v>
      </c>
      <c r="G440" s="9">
        <v>3.9925125000000001</v>
      </c>
      <c r="H440" s="9">
        <v>37.377983899999997</v>
      </c>
      <c r="I440" s="1" t="s">
        <v>770</v>
      </c>
      <c r="J440" s="1" t="s">
        <v>29</v>
      </c>
      <c r="K440" s="1">
        <v>2116</v>
      </c>
      <c r="L440" s="1">
        <v>1663</v>
      </c>
      <c r="M440" s="1">
        <f t="shared" si="42"/>
        <v>1889.5</v>
      </c>
      <c r="N440" s="4">
        <f t="shared" si="39"/>
        <v>0.78591682419659736</v>
      </c>
      <c r="O440" s="4">
        <f t="shared" si="43"/>
        <v>0.77632118710423825</v>
      </c>
      <c r="P440" s="4">
        <f t="shared" si="44"/>
        <v>0.95933467682689599</v>
      </c>
      <c r="Q440" s="1" t="s">
        <v>47</v>
      </c>
      <c r="R440" s="1" t="s">
        <v>48</v>
      </c>
      <c r="S440" s="1" t="s">
        <v>1158</v>
      </c>
      <c r="V440" s="1" t="s">
        <v>695</v>
      </c>
      <c r="W440" s="1">
        <v>666</v>
      </c>
      <c r="Z440" s="1" t="s">
        <v>1137</v>
      </c>
      <c r="AA440" s="1" t="s">
        <v>53</v>
      </c>
      <c r="AB440" s="1" t="s">
        <v>65</v>
      </c>
      <c r="AC440" s="15">
        <v>2815</v>
      </c>
      <c r="AD440" s="15">
        <v>119999</v>
      </c>
      <c r="AE440" s="18" t="s">
        <v>1145</v>
      </c>
    </row>
    <row r="441" spans="1:31">
      <c r="A441" s="1" t="s">
        <v>1139</v>
      </c>
      <c r="C441" s="1">
        <v>221335</v>
      </c>
      <c r="D441" s="1" t="s">
        <v>27</v>
      </c>
      <c r="E441" s="1">
        <v>1.63</v>
      </c>
      <c r="F441" s="1">
        <v>4.58</v>
      </c>
      <c r="G441" s="9">
        <v>4.2694251999999997</v>
      </c>
      <c r="H441" s="9">
        <v>37.705728700000002</v>
      </c>
      <c r="I441" s="1" t="s">
        <v>276</v>
      </c>
      <c r="J441" s="1" t="s">
        <v>29</v>
      </c>
      <c r="K441" s="1">
        <v>1505</v>
      </c>
      <c r="L441" s="1">
        <v>1340</v>
      </c>
      <c r="M441" s="1">
        <f t="shared" si="42"/>
        <v>1422.5</v>
      </c>
      <c r="N441" s="4">
        <f t="shared" si="39"/>
        <v>0.89036544850498334</v>
      </c>
      <c r="O441" s="4">
        <f t="shared" si="43"/>
        <v>0.91627264949319132</v>
      </c>
      <c r="P441" s="4">
        <f t="shared" si="44"/>
        <v>0.97648710462259702</v>
      </c>
      <c r="Q441" s="1" t="s">
        <v>47</v>
      </c>
      <c r="R441" s="1" t="s">
        <v>48</v>
      </c>
      <c r="S441" s="1" t="s">
        <v>1158</v>
      </c>
      <c r="V441" s="1" t="s">
        <v>695</v>
      </c>
      <c r="W441" s="1">
        <v>778</v>
      </c>
      <c r="Z441" s="1" t="s">
        <v>1140</v>
      </c>
      <c r="AB441" s="1" t="s">
        <v>65</v>
      </c>
      <c r="AC441" s="15">
        <v>2815</v>
      </c>
      <c r="AD441" s="15">
        <v>119999</v>
      </c>
      <c r="AE441" s="18" t="s">
        <v>1145</v>
      </c>
    </row>
    <row r="442" spans="1:31">
      <c r="A442" s="1" t="s">
        <v>1134</v>
      </c>
      <c r="C442" s="1">
        <v>221335</v>
      </c>
      <c r="D442" s="1" t="s">
        <v>27</v>
      </c>
      <c r="E442" s="1">
        <v>1.72</v>
      </c>
      <c r="F442" s="1">
        <v>5</v>
      </c>
      <c r="G442" s="9">
        <v>4.2373231999999996</v>
      </c>
      <c r="H442" s="9">
        <v>37.7001755</v>
      </c>
      <c r="I442" s="1" t="s">
        <v>276</v>
      </c>
      <c r="J442" s="1" t="s">
        <v>29</v>
      </c>
      <c r="K442" s="1">
        <v>1870</v>
      </c>
      <c r="L442" s="1">
        <v>1243</v>
      </c>
      <c r="M442" s="1">
        <f t="shared" si="42"/>
        <v>1556.5</v>
      </c>
      <c r="N442" s="4">
        <f t="shared" si="39"/>
        <v>0.66470588235294115</v>
      </c>
      <c r="O442" s="4">
        <f t="shared" si="43"/>
        <v>0.62626097885111942</v>
      </c>
      <c r="P442" s="4">
        <f t="shared" si="44"/>
        <v>0.86456629826791087</v>
      </c>
      <c r="Q442" s="1" t="s">
        <v>47</v>
      </c>
      <c r="R442" s="1" t="s">
        <v>48</v>
      </c>
      <c r="S442" s="1" t="s">
        <v>1158</v>
      </c>
      <c r="V442" s="1" t="s">
        <v>695</v>
      </c>
      <c r="Z442" s="1" t="s">
        <v>1140</v>
      </c>
      <c r="AB442" s="1" t="s">
        <v>65</v>
      </c>
      <c r="AC442" s="15">
        <v>2815</v>
      </c>
      <c r="AD442" s="15">
        <v>119999</v>
      </c>
      <c r="AE442" s="18" t="s">
        <v>1145</v>
      </c>
    </row>
    <row r="443" spans="1:31">
      <c r="A443" s="1" t="s">
        <v>1159</v>
      </c>
      <c r="C443" s="1">
        <v>221330</v>
      </c>
      <c r="D443" s="1" t="s">
        <v>27</v>
      </c>
      <c r="E443" s="1">
        <v>3.27</v>
      </c>
      <c r="F443" s="1">
        <v>7.16</v>
      </c>
      <c r="G443" s="9">
        <v>4.2153726999999996</v>
      </c>
      <c r="H443" s="9">
        <v>37.5914164</v>
      </c>
      <c r="I443" s="1" t="s">
        <v>276</v>
      </c>
      <c r="J443" s="1" t="s">
        <v>29</v>
      </c>
      <c r="K443" s="1">
        <v>2603</v>
      </c>
      <c r="L443" s="1">
        <v>1736</v>
      </c>
      <c r="M443" s="1">
        <f t="shared" si="42"/>
        <v>2169.5</v>
      </c>
      <c r="N443" s="4">
        <f t="shared" si="39"/>
        <v>0.66692278140606986</v>
      </c>
      <c r="O443" s="4">
        <f t="shared" si="43"/>
        <v>0.61448252271994763</v>
      </c>
      <c r="P443" s="4">
        <f t="shared" si="44"/>
        <v>0.8015517600292299</v>
      </c>
      <c r="Q443" s="1" t="s">
        <v>47</v>
      </c>
      <c r="R443" s="1" t="s">
        <v>48</v>
      </c>
      <c r="S443" s="1" t="s">
        <v>1158</v>
      </c>
      <c r="V443" s="1" t="s">
        <v>695</v>
      </c>
      <c r="Z443" s="1" t="s">
        <v>1140</v>
      </c>
      <c r="AB443" s="1" t="s">
        <v>48</v>
      </c>
      <c r="AC443" s="15">
        <v>2815</v>
      </c>
      <c r="AD443" s="15">
        <v>119999</v>
      </c>
      <c r="AE443" s="18" t="s">
        <v>1145</v>
      </c>
    </row>
    <row r="444" spans="1:31">
      <c r="A444" s="1" t="s">
        <v>1160</v>
      </c>
      <c r="C444" s="1">
        <v>221330</v>
      </c>
      <c r="D444" s="1" t="s">
        <v>27</v>
      </c>
      <c r="E444" s="1">
        <v>0.51</v>
      </c>
      <c r="F444" s="1">
        <v>2.57</v>
      </c>
      <c r="G444" s="9">
        <v>4.0383288000000004</v>
      </c>
      <c r="H444" s="9">
        <v>37.380906000000003</v>
      </c>
      <c r="I444" s="1" t="s">
        <v>770</v>
      </c>
      <c r="J444" s="1" t="s">
        <v>29</v>
      </c>
      <c r="K444" s="1">
        <v>916</v>
      </c>
      <c r="L444" s="1">
        <v>699</v>
      </c>
      <c r="M444" s="1">
        <f t="shared" si="42"/>
        <v>807.5</v>
      </c>
      <c r="N444" s="4">
        <f t="shared" si="39"/>
        <v>0.76310043668122274</v>
      </c>
      <c r="O444" s="4">
        <f t="shared" si="43"/>
        <v>0.77390802022145477</v>
      </c>
      <c r="P444" s="4">
        <f t="shared" si="44"/>
        <v>0.97031734217371624</v>
      </c>
      <c r="Q444" s="1" t="s">
        <v>47</v>
      </c>
      <c r="R444" s="1" t="s">
        <v>48</v>
      </c>
      <c r="S444" s="1" t="s">
        <v>1158</v>
      </c>
      <c r="V444" s="1" t="s">
        <v>695</v>
      </c>
      <c r="Z444" s="1" t="s">
        <v>1137</v>
      </c>
      <c r="AB444" s="1" t="s">
        <v>65</v>
      </c>
      <c r="AC444" s="15">
        <v>2815</v>
      </c>
      <c r="AD444" s="15">
        <v>119999</v>
      </c>
      <c r="AE444" s="18" t="s">
        <v>1145</v>
      </c>
    </row>
    <row r="445" spans="1:31">
      <c r="A445" s="1" t="s">
        <v>1161</v>
      </c>
      <c r="C445" s="1">
        <v>221330</v>
      </c>
      <c r="D445" s="1" t="s">
        <v>27</v>
      </c>
      <c r="E445" s="1">
        <v>1.49</v>
      </c>
      <c r="F445" s="1">
        <v>4.37</v>
      </c>
      <c r="G445" s="9">
        <v>4.0705043999999999</v>
      </c>
      <c r="H445" s="9">
        <v>37.5731112</v>
      </c>
      <c r="I445" s="1" t="s">
        <v>276</v>
      </c>
      <c r="J445" s="1" t="s">
        <v>29</v>
      </c>
      <c r="K445" s="1">
        <v>1426</v>
      </c>
      <c r="L445" s="1">
        <v>1408</v>
      </c>
      <c r="M445" s="1">
        <f t="shared" si="42"/>
        <v>1417</v>
      </c>
      <c r="N445" s="4">
        <f t="shared" si="39"/>
        <v>0.98737727910238426</v>
      </c>
      <c r="O445" s="4">
        <f t="shared" si="43"/>
        <v>0.93294778087146968</v>
      </c>
      <c r="P445" s="4">
        <f t="shared" si="44"/>
        <v>0.9804676264417348</v>
      </c>
      <c r="Q445" s="1" t="s">
        <v>47</v>
      </c>
      <c r="R445" s="1" t="s">
        <v>48</v>
      </c>
      <c r="S445" s="1" t="s">
        <v>1158</v>
      </c>
      <c r="V445" s="1" t="s">
        <v>695</v>
      </c>
      <c r="Z445" s="1" t="s">
        <v>1140</v>
      </c>
      <c r="AB445" s="1" t="s">
        <v>65</v>
      </c>
      <c r="AC445" s="15">
        <v>2815</v>
      </c>
      <c r="AD445" s="15">
        <v>119999</v>
      </c>
      <c r="AE445" s="18" t="s">
        <v>1145</v>
      </c>
    </row>
    <row r="446" spans="1:31">
      <c r="A446" s="1" t="s">
        <v>1141</v>
      </c>
      <c r="C446" s="1">
        <v>221330</v>
      </c>
      <c r="D446" s="1" t="s">
        <v>27</v>
      </c>
      <c r="E446" s="1">
        <v>1.28</v>
      </c>
      <c r="F446" s="1">
        <v>4.17</v>
      </c>
      <c r="G446" s="9">
        <v>3.8941034000000001</v>
      </c>
      <c r="H446" s="9">
        <v>38.2056866</v>
      </c>
      <c r="I446" s="1" t="s">
        <v>276</v>
      </c>
      <c r="J446" s="1" t="s">
        <v>29</v>
      </c>
      <c r="K446" s="1">
        <v>1369</v>
      </c>
      <c r="L446" s="1">
        <v>1325</v>
      </c>
      <c r="M446" s="1">
        <f t="shared" si="42"/>
        <v>1347</v>
      </c>
      <c r="N446" s="4">
        <f t="shared" si="39"/>
        <v>0.96785975164353544</v>
      </c>
      <c r="O446" s="4">
        <f t="shared" si="43"/>
        <v>0.86958730720626909</v>
      </c>
      <c r="P446" s="4">
        <f t="shared" si="44"/>
        <v>0.92501276023093704</v>
      </c>
      <c r="Q446" s="1" t="s">
        <v>47</v>
      </c>
      <c r="R446" s="1" t="s">
        <v>48</v>
      </c>
      <c r="S446" s="1" t="s">
        <v>1136</v>
      </c>
      <c r="V446" s="1" t="s">
        <v>695</v>
      </c>
      <c r="Z446" s="1" t="s">
        <v>1140</v>
      </c>
      <c r="AB446" s="1" t="s">
        <v>65</v>
      </c>
      <c r="AE446" s="18" t="s">
        <v>1145</v>
      </c>
    </row>
    <row r="447" spans="1:31">
      <c r="A447" s="1" t="s">
        <v>1142</v>
      </c>
      <c r="C447" s="1">
        <v>221330</v>
      </c>
      <c r="D447" s="1" t="s">
        <v>27</v>
      </c>
      <c r="E447" s="1">
        <v>1.2</v>
      </c>
      <c r="F447" s="1">
        <v>3.92</v>
      </c>
      <c r="G447" s="9">
        <v>4.0034574000000003</v>
      </c>
      <c r="H447" s="9">
        <v>38.233359399999998</v>
      </c>
      <c r="I447" s="1" t="s">
        <v>276</v>
      </c>
      <c r="J447" s="1" t="s">
        <v>29</v>
      </c>
      <c r="K447" s="1">
        <v>1348</v>
      </c>
      <c r="L447" s="1">
        <v>1146</v>
      </c>
      <c r="M447" s="1">
        <f t="shared" ref="M447" si="45">AVERAGE(K447:L447)</f>
        <v>1247</v>
      </c>
      <c r="N447" s="4">
        <f t="shared" ref="N447" si="46">L447/K447</f>
        <v>0.85014836795252224</v>
      </c>
      <c r="O447" s="4">
        <f t="shared" ref="O447" si="47">E447/(PI()*((K447/2000)^2))</f>
        <v>0.84083654743052405</v>
      </c>
      <c r="P447" s="4">
        <f t="shared" ref="P447" si="48">E447/(((F447/(2*PI()))^2)*PI())</f>
        <v>0.98133881307469573</v>
      </c>
      <c r="Q447" s="1" t="s">
        <v>47</v>
      </c>
      <c r="R447" s="1" t="s">
        <v>48</v>
      </c>
      <c r="S447" s="1" t="s">
        <v>1136</v>
      </c>
      <c r="V447" s="1" t="s">
        <v>695</v>
      </c>
      <c r="Z447" s="1" t="s">
        <v>1140</v>
      </c>
      <c r="AB447" s="1" t="s">
        <v>65</v>
      </c>
      <c r="AE447" s="18" t="s">
        <v>1145</v>
      </c>
    </row>
    <row r="448" spans="1:31">
      <c r="A448" s="1" t="s">
        <v>1162</v>
      </c>
      <c r="C448" s="1">
        <v>221330</v>
      </c>
      <c r="D448" s="1" t="s">
        <v>27</v>
      </c>
      <c r="E448" s="1">
        <v>2.59</v>
      </c>
      <c r="F448" s="1">
        <v>5.99</v>
      </c>
      <c r="G448" s="9">
        <v>4.2080916000000004</v>
      </c>
      <c r="H448" s="9">
        <v>38.395337400000003</v>
      </c>
      <c r="I448" s="1" t="s">
        <v>276</v>
      </c>
      <c r="J448" s="1" t="s">
        <v>29</v>
      </c>
      <c r="K448" s="1">
        <v>1910</v>
      </c>
      <c r="L448" s="1">
        <v>1644</v>
      </c>
      <c r="M448" s="1">
        <f t="shared" si="42"/>
        <v>1777</v>
      </c>
      <c r="N448" s="4">
        <f t="shared" ref="N448:N456" si="49">L448/K448</f>
        <v>0.86073298429319367</v>
      </c>
      <c r="O448" s="4">
        <f t="shared" si="43"/>
        <v>0.90394737558292571</v>
      </c>
      <c r="P448" s="4">
        <f t="shared" si="44"/>
        <v>0.9071017051566258</v>
      </c>
      <c r="Q448" s="1" t="s">
        <v>47</v>
      </c>
      <c r="R448" s="1" t="s">
        <v>31</v>
      </c>
      <c r="S448" s="1" t="s">
        <v>1136</v>
      </c>
      <c r="V448" s="1" t="s">
        <v>695</v>
      </c>
      <c r="X448" s="1" t="s">
        <v>1144</v>
      </c>
      <c r="Z448" s="1" t="s">
        <v>1140</v>
      </c>
      <c r="AB448" s="1" t="s">
        <v>65</v>
      </c>
      <c r="AE448" s="18" t="s">
        <v>1143</v>
      </c>
    </row>
    <row r="449" spans="1:31">
      <c r="A449" s="1" t="s">
        <v>1163</v>
      </c>
      <c r="C449" s="1">
        <v>221330</v>
      </c>
      <c r="D449" s="1" t="s">
        <v>27</v>
      </c>
      <c r="E449" s="1">
        <v>0.37</v>
      </c>
      <c r="F449" s="1">
        <v>2.2000000000000002</v>
      </c>
      <c r="G449" s="9">
        <v>4.2265490000000003</v>
      </c>
      <c r="H449" s="9">
        <v>38.347021699999999</v>
      </c>
      <c r="I449" s="1" t="s">
        <v>276</v>
      </c>
      <c r="J449" s="1" t="s">
        <v>29</v>
      </c>
      <c r="K449" s="1">
        <v>738</v>
      </c>
      <c r="L449" s="1">
        <v>685</v>
      </c>
      <c r="M449" s="1">
        <f t="shared" si="42"/>
        <v>711.5</v>
      </c>
      <c r="N449" s="4">
        <f t="shared" si="49"/>
        <v>0.92818428184281843</v>
      </c>
      <c r="O449" s="4">
        <f t="shared" si="43"/>
        <v>0.86496616423206751</v>
      </c>
      <c r="P449" s="4">
        <f t="shared" si="44"/>
        <v>0.96065229903158955</v>
      </c>
      <c r="Q449" s="1" t="s">
        <v>47</v>
      </c>
      <c r="R449" s="1" t="s">
        <v>31</v>
      </c>
      <c r="S449" s="1" t="s">
        <v>1136</v>
      </c>
      <c r="V449" s="1" t="s">
        <v>695</v>
      </c>
      <c r="Z449" s="1" t="s">
        <v>1140</v>
      </c>
      <c r="AB449" s="1" t="s">
        <v>65</v>
      </c>
      <c r="AE449" s="18" t="s">
        <v>1143</v>
      </c>
    </row>
    <row r="450" spans="1:31">
      <c r="A450" s="1" t="s">
        <v>1164</v>
      </c>
      <c r="C450" s="1">
        <v>221330</v>
      </c>
      <c r="D450" s="1" t="s">
        <v>27</v>
      </c>
      <c r="E450" s="1">
        <v>9.5000000000000001E-2</v>
      </c>
      <c r="F450" s="1">
        <v>1.1000000000000001</v>
      </c>
      <c r="G450" s="9">
        <v>4.2484925999999996</v>
      </c>
      <c r="H450" s="9">
        <v>38.360709200000002</v>
      </c>
      <c r="I450" s="1" t="s">
        <v>276</v>
      </c>
      <c r="J450" s="1" t="s">
        <v>29</v>
      </c>
      <c r="K450" s="1">
        <v>369</v>
      </c>
      <c r="L450" s="1">
        <v>327</v>
      </c>
      <c r="M450" s="1">
        <f t="shared" si="42"/>
        <v>348</v>
      </c>
      <c r="N450" s="4">
        <f t="shared" si="49"/>
        <v>0.88617886178861793</v>
      </c>
      <c r="O450" s="4">
        <f t="shared" si="43"/>
        <v>0.88834362813023149</v>
      </c>
      <c r="P450" s="4">
        <f t="shared" si="44"/>
        <v>0.98661587468109191</v>
      </c>
      <c r="Q450" s="1" t="s">
        <v>47</v>
      </c>
      <c r="R450" s="1" t="s">
        <v>31</v>
      </c>
      <c r="S450" s="1" t="s">
        <v>1136</v>
      </c>
      <c r="V450" s="1" t="s">
        <v>695</v>
      </c>
      <c r="Z450" s="1" t="s">
        <v>1140</v>
      </c>
      <c r="AB450" s="1" t="s">
        <v>65</v>
      </c>
      <c r="AE450" s="18" t="s">
        <v>1143</v>
      </c>
    </row>
    <row r="451" spans="1:31">
      <c r="A451" s="1" t="s">
        <v>1146</v>
      </c>
      <c r="C451" s="1">
        <v>224020</v>
      </c>
      <c r="D451" s="1" t="s">
        <v>27</v>
      </c>
      <c r="E451" s="1">
        <v>0.11</v>
      </c>
      <c r="F451" s="1">
        <v>1.24</v>
      </c>
      <c r="G451" s="9">
        <v>5.0507517999999996</v>
      </c>
      <c r="H451" s="9">
        <v>9.8843949999999996</v>
      </c>
      <c r="I451" s="1" t="s">
        <v>197</v>
      </c>
      <c r="J451" s="1" t="s">
        <v>178</v>
      </c>
      <c r="K451" s="1">
        <v>453</v>
      </c>
      <c r="L451" s="1">
        <v>324</v>
      </c>
      <c r="M451" s="1">
        <f t="shared" si="42"/>
        <v>388.5</v>
      </c>
      <c r="N451" s="4">
        <f t="shared" si="49"/>
        <v>0.71523178807947019</v>
      </c>
      <c r="O451" s="4">
        <f t="shared" si="43"/>
        <v>0.68250588385922595</v>
      </c>
      <c r="P451" s="4">
        <f t="shared" si="44"/>
        <v>0.89899893833214684</v>
      </c>
      <c r="Q451" s="1" t="s">
        <v>30</v>
      </c>
      <c r="R451" s="1" t="s">
        <v>31</v>
      </c>
      <c r="S451" s="1" t="s">
        <v>1147</v>
      </c>
      <c r="V451" s="1" t="s">
        <v>1078</v>
      </c>
      <c r="AA451" s="1" t="s">
        <v>1148</v>
      </c>
      <c r="AB451" s="1" t="s">
        <v>65</v>
      </c>
      <c r="AC451" s="15">
        <v>1054</v>
      </c>
      <c r="AD451" s="15">
        <v>3441094</v>
      </c>
      <c r="AE451" s="18" t="s">
        <v>1150</v>
      </c>
    </row>
    <row r="452" spans="1:31">
      <c r="A452" s="1" t="s">
        <v>1149</v>
      </c>
      <c r="C452" s="1">
        <v>224020</v>
      </c>
      <c r="D452" s="1" t="s">
        <v>27</v>
      </c>
      <c r="E452" s="1">
        <v>0.79</v>
      </c>
      <c r="F452" s="1">
        <v>3.39</v>
      </c>
      <c r="G452" s="9">
        <v>5.0374059000000004</v>
      </c>
      <c r="H452" s="9">
        <v>9.8305045</v>
      </c>
      <c r="I452" s="1" t="s">
        <v>197</v>
      </c>
      <c r="J452" s="1" t="s">
        <v>187</v>
      </c>
      <c r="K452" s="1">
        <v>1233</v>
      </c>
      <c r="L452" s="1">
        <v>892</v>
      </c>
      <c r="M452" s="1">
        <f t="shared" si="42"/>
        <v>1062.5</v>
      </c>
      <c r="N452" s="4">
        <f t="shared" si="49"/>
        <v>0.72343876723438771</v>
      </c>
      <c r="O452" s="4">
        <f t="shared" si="43"/>
        <v>0.66162370466455955</v>
      </c>
      <c r="P452" s="4">
        <f t="shared" si="44"/>
        <v>0.86384845113980424</v>
      </c>
      <c r="Q452" s="1" t="s">
        <v>30</v>
      </c>
      <c r="R452" s="1" t="s">
        <v>31</v>
      </c>
      <c r="S452" s="1" t="s">
        <v>1147</v>
      </c>
      <c r="V452" s="1" t="s">
        <v>1078</v>
      </c>
      <c r="Z452" s="1" t="s">
        <v>1157</v>
      </c>
      <c r="AA452" s="1" t="s">
        <v>1148</v>
      </c>
      <c r="AB452" s="1" t="s">
        <v>65</v>
      </c>
      <c r="AC452" s="15">
        <v>1054</v>
      </c>
      <c r="AD452" s="15">
        <v>3441094</v>
      </c>
      <c r="AE452" s="18" t="s">
        <v>1150</v>
      </c>
    </row>
    <row r="453" spans="1:31">
      <c r="A453" s="1" t="s">
        <v>1151</v>
      </c>
      <c r="C453" s="1">
        <v>224020</v>
      </c>
      <c r="D453" s="1" t="s">
        <v>27</v>
      </c>
      <c r="E453" s="1">
        <v>0.13</v>
      </c>
      <c r="F453" s="1">
        <v>1.31</v>
      </c>
      <c r="G453" s="9">
        <v>5.0325069999999998</v>
      </c>
      <c r="H453" s="9">
        <v>9.8258553000000006</v>
      </c>
      <c r="I453" s="1" t="s">
        <v>197</v>
      </c>
      <c r="J453" s="1" t="s">
        <v>187</v>
      </c>
      <c r="K453" s="1">
        <v>398</v>
      </c>
      <c r="L453" s="1">
        <v>367</v>
      </c>
      <c r="M453" s="1">
        <f t="shared" si="42"/>
        <v>382.5</v>
      </c>
      <c r="N453" s="4">
        <f t="shared" si="49"/>
        <v>0.92211055276381915</v>
      </c>
      <c r="O453" s="4">
        <f t="shared" si="43"/>
        <v>1.0449303099389609</v>
      </c>
      <c r="P453" s="4">
        <f t="shared" si="44"/>
        <v>0.95194229932212127</v>
      </c>
      <c r="Q453" s="1" t="s">
        <v>30</v>
      </c>
      <c r="R453" s="1" t="s">
        <v>31</v>
      </c>
      <c r="S453" s="1" t="s">
        <v>1147</v>
      </c>
      <c r="V453" s="1" t="s">
        <v>1078</v>
      </c>
      <c r="Z453" s="1" t="s">
        <v>1156</v>
      </c>
      <c r="AA453" s="1" t="s">
        <v>1148</v>
      </c>
      <c r="AB453" s="1" t="s">
        <v>65</v>
      </c>
      <c r="AC453" s="15">
        <v>1054</v>
      </c>
      <c r="AD453" s="15">
        <v>3441094</v>
      </c>
      <c r="AE453" s="18" t="s">
        <v>1150</v>
      </c>
    </row>
    <row r="454" spans="1:31">
      <c r="A454" s="1" t="s">
        <v>1152</v>
      </c>
      <c r="C454" s="1">
        <v>275090</v>
      </c>
      <c r="D454" s="1" t="s">
        <v>27</v>
      </c>
      <c r="E454" s="1">
        <v>2</v>
      </c>
      <c r="F454" s="1">
        <v>5.52</v>
      </c>
      <c r="G454" s="9">
        <v>22.283073000000002</v>
      </c>
      <c r="H454" s="9">
        <v>94.972203399999998</v>
      </c>
      <c r="I454" s="1" t="s">
        <v>1117</v>
      </c>
      <c r="J454" s="1" t="s">
        <v>187</v>
      </c>
      <c r="K454" s="1">
        <v>1813</v>
      </c>
      <c r="L454" s="1">
        <v>1490</v>
      </c>
      <c r="M454" s="1">
        <f t="shared" si="42"/>
        <v>1651.5</v>
      </c>
      <c r="N454" s="4">
        <f t="shared" si="49"/>
        <v>0.82184225041367898</v>
      </c>
      <c r="O454" s="4">
        <f t="shared" si="43"/>
        <v>0.77471953324486043</v>
      </c>
      <c r="P454" s="4">
        <f t="shared" si="44"/>
        <v>0.82482478827709349</v>
      </c>
      <c r="Q454" s="1" t="s">
        <v>47</v>
      </c>
      <c r="R454" s="1" t="s">
        <v>48</v>
      </c>
      <c r="S454" s="1" t="s">
        <v>1121</v>
      </c>
      <c r="V454" s="1" t="s">
        <v>1078</v>
      </c>
      <c r="AB454" s="1" t="s">
        <v>65</v>
      </c>
      <c r="AC454" s="15">
        <v>564958</v>
      </c>
      <c r="AD454" s="15">
        <v>4549176</v>
      </c>
      <c r="AE454" s="18" t="s">
        <v>1165</v>
      </c>
    </row>
    <row r="455" spans="1:31">
      <c r="A455" s="1" t="s">
        <v>1153</v>
      </c>
      <c r="C455" s="1">
        <v>275090</v>
      </c>
      <c r="D455" s="1" t="s">
        <v>27</v>
      </c>
      <c r="E455" s="1">
        <v>1.54</v>
      </c>
      <c r="F455" s="1">
        <v>5.03</v>
      </c>
      <c r="G455" s="9">
        <v>22.2558905</v>
      </c>
      <c r="H455" s="9">
        <v>94.950760700000004</v>
      </c>
      <c r="I455" s="1" t="s">
        <v>1117</v>
      </c>
      <c r="J455" s="1" t="s">
        <v>329</v>
      </c>
      <c r="K455" s="1">
        <v>1699</v>
      </c>
      <c r="L455" s="1">
        <v>993</v>
      </c>
      <c r="M455" s="1">
        <f t="shared" si="42"/>
        <v>1346</v>
      </c>
      <c r="N455" s="4">
        <f t="shared" si="49"/>
        <v>0.58446144791053556</v>
      </c>
      <c r="O455" s="4">
        <f t="shared" si="43"/>
        <v>0.6792725766020834</v>
      </c>
      <c r="P455" s="4">
        <f t="shared" si="44"/>
        <v>0.76488230640463872</v>
      </c>
      <c r="Q455" s="1" t="s">
        <v>47</v>
      </c>
      <c r="R455" s="1" t="s">
        <v>48</v>
      </c>
      <c r="S455" s="1" t="s">
        <v>1121</v>
      </c>
      <c r="V455" s="1" t="s">
        <v>1078</v>
      </c>
      <c r="AB455" s="1" t="s">
        <v>48</v>
      </c>
      <c r="AC455" s="15">
        <v>564958</v>
      </c>
      <c r="AD455" s="15">
        <v>4549176</v>
      </c>
      <c r="AE455" s="18" t="s">
        <v>1165</v>
      </c>
    </row>
    <row r="456" spans="1:31">
      <c r="A456" s="1" t="s">
        <v>1154</v>
      </c>
      <c r="C456" s="1">
        <v>275090</v>
      </c>
      <c r="D456" s="1" t="s">
        <v>27</v>
      </c>
      <c r="E456" s="1">
        <v>1.66</v>
      </c>
      <c r="F456" s="1">
        <v>5.85</v>
      </c>
      <c r="G456" s="9">
        <v>22.299187700000001</v>
      </c>
      <c r="H456" s="9">
        <v>94.980610100000007</v>
      </c>
      <c r="I456" s="1" t="s">
        <v>1117</v>
      </c>
      <c r="J456" s="1" t="s">
        <v>1155</v>
      </c>
      <c r="K456" s="1">
        <v>2037</v>
      </c>
      <c r="L456" s="1">
        <v>1014</v>
      </c>
      <c r="M456" s="1">
        <f t="shared" si="42"/>
        <v>1525.5</v>
      </c>
      <c r="N456" s="4">
        <f t="shared" si="49"/>
        <v>0.49779086892488955</v>
      </c>
      <c r="O456" s="4">
        <f t="shared" si="43"/>
        <v>0.5093732671787855</v>
      </c>
      <c r="P456" s="4">
        <f t="shared" si="44"/>
        <v>0.60954562699499537</v>
      </c>
      <c r="Q456" s="1" t="s">
        <v>47</v>
      </c>
      <c r="R456" s="1" t="s">
        <v>48</v>
      </c>
      <c r="S456" s="1" t="s">
        <v>1121</v>
      </c>
      <c r="V456" s="1" t="s">
        <v>1078</v>
      </c>
      <c r="AB456" s="1" t="s">
        <v>65</v>
      </c>
      <c r="AC456" s="15">
        <v>564958</v>
      </c>
      <c r="AD456" s="15">
        <v>4549176</v>
      </c>
      <c r="AE456" s="18" t="s">
        <v>1165</v>
      </c>
    </row>
  </sheetData>
  <sortState xmlns:xlrd2="http://schemas.microsoft.com/office/spreadsheetml/2017/richdata2" ref="A2:AE431">
    <sortCondition descending="1" ref="G1"/>
  </sortState>
  <phoneticPr fontId="5" type="noConversion"/>
  <pageMargins left="0.7" right="0.7" top="0.75" bottom="0.75" header="0.3" footer="0.3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Shapes</vt:lpstr>
      <vt:lpstr>A</vt:lpstr>
    </vt:vector>
  </TitlesOfParts>
  <Company>UMKC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Graettinger, Alison</dc:creator>
  <cp:lastModifiedBy>agraettinger agraettinger</cp:lastModifiedBy>
  <dcterms:created xsi:type="dcterms:W3CDTF">2017-05-11T21:17:11Z</dcterms:created>
  <dcterms:modified xsi:type="dcterms:W3CDTF">2021-02-26T16:41:16Z</dcterms:modified>
</cp:coreProperties>
</file>